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atsu\Downloads\"/>
    </mc:Choice>
  </mc:AlternateContent>
  <xr:revisionPtr revIDLastSave="0" documentId="13_ncr:1_{92F7DF12-E31B-4CE5-B484-C6CA4A136E13}" xr6:coauthVersionLast="47" xr6:coauthVersionMax="47" xr10:uidLastSave="{00000000-0000-0000-0000-000000000000}"/>
  <bookViews>
    <workbookView xWindow="828" yWindow="-108" windowWidth="22320" windowHeight="13176" xr2:uid="{763AB424-85B9-4FDC-AA32-AE90EA0B9837}"/>
  </bookViews>
  <sheets>
    <sheet name="1経営分析" sheetId="1" r:id="rId1"/>
    <sheet name="2CVP" sheetId="3" r:id="rId2"/>
    <sheet name="4業務的意思決定" sheetId="5" r:id="rId3"/>
    <sheet name="5NPV" sheetId="6" r:id="rId4"/>
    <sheet name="6企業価値他" sheetId="7" r:id="rId5"/>
    <sheet name="3CF計算書" sheetId="4" r:id="rId6"/>
    <sheet name="解答記録"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0" i="7" l="1"/>
  <c r="D162" i="7"/>
  <c r="D163" i="7" s="1"/>
  <c r="E170" i="7" s="1"/>
  <c r="C162" i="7"/>
  <c r="J161" i="7"/>
  <c r="D160" i="7"/>
  <c r="D154" i="7"/>
  <c r="D148" i="7"/>
  <c r="F145" i="7"/>
  <c r="F148" i="7" s="1"/>
  <c r="F154" i="7" s="1"/>
  <c r="C131" i="7"/>
  <c r="C121" i="7"/>
  <c r="C120" i="7"/>
  <c r="G120" i="7"/>
  <c r="F120" i="7"/>
  <c r="E120" i="7"/>
  <c r="D120" i="7"/>
  <c r="G117" i="7"/>
  <c r="H115" i="7"/>
  <c r="F114" i="7"/>
  <c r="G110" i="7"/>
  <c r="G114" i="7" s="1"/>
  <c r="H114" i="7" s="1"/>
  <c r="F110" i="7"/>
  <c r="E110" i="7"/>
  <c r="E114" i="7" s="1"/>
  <c r="D110" i="7"/>
  <c r="D114" i="7" s="1"/>
  <c r="C83" i="7"/>
  <c r="D72" i="7"/>
  <c r="D73" i="7" s="1"/>
  <c r="D77" i="7" s="1"/>
  <c r="E77" i="7" s="1"/>
  <c r="F77" i="7" s="1"/>
  <c r="E80" i="7" s="1"/>
  <c r="C84" i="7" s="1"/>
  <c r="F59" i="7"/>
  <c r="E59" i="7"/>
  <c r="F57" i="7"/>
  <c r="E57" i="7"/>
  <c r="D57" i="7"/>
  <c r="D61" i="7" s="1"/>
  <c r="C57" i="7"/>
  <c r="C61" i="7" s="1"/>
  <c r="C46" i="7"/>
  <c r="E43" i="7"/>
  <c r="E47" i="7" s="1"/>
  <c r="I37" i="7"/>
  <c r="D34" i="7" s="1"/>
  <c r="E32" i="7"/>
  <c r="D26" i="7"/>
  <c r="E24" i="7"/>
  <c r="E15" i="7"/>
  <c r="E19" i="7" s="1"/>
  <c r="E6" i="7"/>
  <c r="E10" i="7" s="1"/>
  <c r="F172" i="7" l="1"/>
  <c r="C82" i="7"/>
  <c r="E36" i="7"/>
  <c r="F61" i="7"/>
  <c r="E61" i="7"/>
  <c r="E28" i="7"/>
  <c r="C85" i="7" l="1"/>
  <c r="F374" i="6" l="1"/>
  <c r="D366" i="6"/>
  <c r="D365" i="6"/>
  <c r="D369" i="6" s="1"/>
  <c r="D370" i="6" s="1"/>
  <c r="I360" i="6"/>
  <c r="E356" i="6"/>
  <c r="L345" i="6" s="1"/>
  <c r="E355" i="6"/>
  <c r="E353" i="6"/>
  <c r="E367" i="6" s="1"/>
  <c r="N345" i="6"/>
  <c r="E378" i="6" s="1"/>
  <c r="I343" i="6"/>
  <c r="R338" i="6"/>
  <c r="L337" i="6" s="1"/>
  <c r="L338" i="6" s="1"/>
  <c r="Q338" i="6"/>
  <c r="L346" i="6" s="1"/>
  <c r="E381" i="6" s="1"/>
  <c r="I381" i="6" s="1"/>
  <c r="I378" i="6" l="1"/>
  <c r="L340" i="6"/>
  <c r="K340" i="6"/>
  <c r="L341" i="6" s="1"/>
  <c r="E341" i="6" s="1"/>
  <c r="E357" i="6"/>
  <c r="E340" i="6"/>
  <c r="L347" i="6"/>
  <c r="L349" i="6" l="1"/>
  <c r="E379" i="6" s="1"/>
  <c r="K349" i="6"/>
  <c r="L350" i="6" s="1"/>
  <c r="E358" i="6" s="1"/>
  <c r="E368" i="6" s="1"/>
  <c r="I379" i="6" l="1"/>
  <c r="I380" i="6" s="1"/>
  <c r="I382" i="6" s="1"/>
  <c r="E380" i="6"/>
  <c r="E382" i="6" s="1"/>
  <c r="F368" i="6"/>
  <c r="E369" i="6"/>
  <c r="E370" i="6" s="1"/>
  <c r="F369" i="6" l="1"/>
  <c r="F370" i="6" s="1"/>
  <c r="D371" i="6" s="1"/>
  <c r="G368" i="6"/>
  <c r="G369" i="6" l="1"/>
  <c r="H368" i="6"/>
  <c r="H369" i="6" l="1"/>
  <c r="I368" i="6"/>
  <c r="I369" i="6" s="1"/>
  <c r="D327" i="6" l="1"/>
  <c r="D326" i="6"/>
  <c r="E324" i="6"/>
  <c r="E318" i="6"/>
  <c r="E319" i="6" s="1"/>
  <c r="E309" i="6"/>
  <c r="E310" i="6" s="1"/>
  <c r="L293" i="6"/>
  <c r="L295" i="6" s="1"/>
  <c r="C293" i="6"/>
  <c r="C295" i="6" s="1"/>
  <c r="N284" i="6"/>
  <c r="O284" i="6" s="1"/>
  <c r="P284" i="6" s="1"/>
  <c r="Q284" i="6" s="1"/>
  <c r="R284" i="6" s="1"/>
  <c r="N280" i="6"/>
  <c r="E284" i="6"/>
  <c r="F284" i="6" s="1"/>
  <c r="G284" i="6" s="1"/>
  <c r="H284" i="6" s="1"/>
  <c r="I284" i="6" s="1"/>
  <c r="E280" i="6"/>
  <c r="F280" i="6" s="1"/>
  <c r="G280" i="6" s="1"/>
  <c r="H280" i="6" s="1"/>
  <c r="I280" i="6" s="1"/>
  <c r="N282" i="6"/>
  <c r="O282" i="6" s="1"/>
  <c r="P282" i="6" s="1"/>
  <c r="Q282" i="6" s="1"/>
  <c r="R282" i="6" s="1"/>
  <c r="M293" i="6"/>
  <c r="M295" i="6" s="1"/>
  <c r="R287" i="6"/>
  <c r="D293" i="6"/>
  <c r="D295" i="6" s="1"/>
  <c r="I287" i="6"/>
  <c r="O261" i="6"/>
  <c r="O260" i="6"/>
  <c r="G263" i="6"/>
  <c r="G262" i="6"/>
  <c r="G259" i="6"/>
  <c r="I224" i="6"/>
  <c r="I225" i="6" s="1"/>
  <c r="D231" i="6"/>
  <c r="E225" i="6"/>
  <c r="M234" i="6"/>
  <c r="M235" i="6" s="1"/>
  <c r="M226" i="6"/>
  <c r="H206" i="6"/>
  <c r="D212" i="6"/>
  <c r="H190" i="6"/>
  <c r="H191" i="6" s="1"/>
  <c r="D178" i="6"/>
  <c r="D179" i="6" s="1"/>
  <c r="E176" i="6"/>
  <c r="F176" i="6" s="1"/>
  <c r="G176" i="6" s="1"/>
  <c r="H176" i="6" s="1"/>
  <c r="I176" i="6" s="1"/>
  <c r="D168" i="6"/>
  <c r="D167" i="6"/>
  <c r="D158" i="6"/>
  <c r="D157" i="6"/>
  <c r="E147" i="6"/>
  <c r="E148" i="6"/>
  <c r="D138" i="6"/>
  <c r="D137" i="6"/>
  <c r="G136" i="6"/>
  <c r="D136" i="6" s="1"/>
  <c r="E139" i="6"/>
  <c r="D139" i="6" s="1"/>
  <c r="E129" i="6"/>
  <c r="D129" i="6" s="1"/>
  <c r="F127" i="6"/>
  <c r="D128" i="6" s="1"/>
  <c r="E118" i="6"/>
  <c r="E117" i="6"/>
  <c r="E115" i="6"/>
  <c r="G110" i="6"/>
  <c r="I111" i="6" s="1"/>
  <c r="G111" i="6" s="1"/>
  <c r="D109" i="6" s="1"/>
  <c r="D110" i="6" s="1"/>
  <c r="G105" i="6"/>
  <c r="I106" i="6" s="1"/>
  <c r="G106" i="6" s="1"/>
  <c r="D104" i="6" s="1"/>
  <c r="D105" i="6" s="1"/>
  <c r="I90" i="6"/>
  <c r="J90" i="6" s="1"/>
  <c r="J91" i="6" s="1"/>
  <c r="B90" i="6"/>
  <c r="D90" i="6" s="1"/>
  <c r="D91" i="6" s="1"/>
  <c r="J94" i="6"/>
  <c r="M95" i="6" s="1"/>
  <c r="J95" i="6" s="1"/>
  <c r="F94" i="6"/>
  <c r="D95" i="6" s="1"/>
  <c r="F95" i="6" s="1"/>
  <c r="J80" i="6"/>
  <c r="J76" i="6"/>
  <c r="J77" i="6" s="1"/>
  <c r="J83" i="6" s="1"/>
  <c r="F80" i="6"/>
  <c r="D76" i="6"/>
  <c r="D77" i="6" s="1"/>
  <c r="D83" i="6" s="1"/>
  <c r="J64" i="6"/>
  <c r="M65" i="6" s="1"/>
  <c r="J65" i="6" s="1"/>
  <c r="J58" i="6"/>
  <c r="I60" i="6" s="1"/>
  <c r="J60" i="6" s="1"/>
  <c r="J61" i="6" s="1"/>
  <c r="F64" i="6"/>
  <c r="D65" i="6" s="1"/>
  <c r="F65" i="6" s="1"/>
  <c r="D58" i="6"/>
  <c r="B60" i="6" s="1"/>
  <c r="J49" i="6"/>
  <c r="J43" i="6"/>
  <c r="J45" i="6" s="1"/>
  <c r="J46" i="6" s="1"/>
  <c r="J51" i="6" s="1"/>
  <c r="F48" i="6"/>
  <c r="D43" i="6"/>
  <c r="D45" i="6" s="1"/>
  <c r="D46" i="6" s="1"/>
  <c r="D50" i="6" s="1"/>
  <c r="J36" i="6"/>
  <c r="D36" i="6"/>
  <c r="D23" i="6"/>
  <c r="D25" i="6" s="1"/>
  <c r="D26" i="6" s="1"/>
  <c r="J23" i="6"/>
  <c r="I25" i="6" s="1"/>
  <c r="J25" i="6" s="1"/>
  <c r="J26" i="6" s="1"/>
  <c r="D18" i="6"/>
  <c r="D19" i="6" s="1"/>
  <c r="I18" i="6"/>
  <c r="J18" i="6" s="1"/>
  <c r="J19" i="6" s="1"/>
  <c r="J8" i="6"/>
  <c r="I10" i="6" s="1"/>
  <c r="D8" i="6"/>
  <c r="D10" i="6" s="1"/>
  <c r="D11" i="6" s="1"/>
  <c r="F196" i="5"/>
  <c r="H189" i="5"/>
  <c r="H198" i="5" s="1"/>
  <c r="D189" i="5"/>
  <c r="D198" i="5" s="1"/>
  <c r="H186" i="5"/>
  <c r="H188" i="5" s="1"/>
  <c r="H190" i="5" s="1"/>
  <c r="H185" i="5"/>
  <c r="D185" i="5"/>
  <c r="D186" i="5" s="1"/>
  <c r="H181" i="5"/>
  <c r="D181" i="5"/>
  <c r="J181" i="5" s="1"/>
  <c r="J182" i="5" s="1"/>
  <c r="H179" i="5"/>
  <c r="D179" i="5"/>
  <c r="H178" i="5"/>
  <c r="F178" i="5"/>
  <c r="D178" i="5"/>
  <c r="J178" i="5" s="1"/>
  <c r="D171" i="5"/>
  <c r="D173" i="5" s="1"/>
  <c r="H170" i="5"/>
  <c r="F170" i="5"/>
  <c r="F169" i="5" s="1"/>
  <c r="D170" i="5"/>
  <c r="D165" i="5"/>
  <c r="H160" i="5"/>
  <c r="F160" i="5"/>
  <c r="D160" i="5"/>
  <c r="H159" i="5"/>
  <c r="H165" i="5" s="1"/>
  <c r="F159" i="5"/>
  <c r="F179" i="5" s="1"/>
  <c r="F181" i="5" s="1"/>
  <c r="D159" i="5"/>
  <c r="I281" i="6" l="1"/>
  <c r="R283" i="6"/>
  <c r="N291" i="6"/>
  <c r="N293" i="6" s="1"/>
  <c r="N295" i="6" s="1"/>
  <c r="I291" i="6"/>
  <c r="F291" i="6"/>
  <c r="F293" i="6" s="1"/>
  <c r="F295" i="6" s="1"/>
  <c r="G291" i="6"/>
  <c r="G293" i="6" s="1"/>
  <c r="G295" i="6" s="1"/>
  <c r="H291" i="6"/>
  <c r="H293" i="6" s="1"/>
  <c r="H295" i="6" s="1"/>
  <c r="E291" i="6"/>
  <c r="E293" i="6" s="1"/>
  <c r="E295" i="6" s="1"/>
  <c r="O280" i="6"/>
  <c r="P280" i="6" s="1"/>
  <c r="P291" i="6" s="1"/>
  <c r="G264" i="6"/>
  <c r="D268" i="6" s="1"/>
  <c r="O262" i="6"/>
  <c r="K263" i="6" s="1"/>
  <c r="K268" i="6" s="1"/>
  <c r="K237" i="6"/>
  <c r="M237" i="6" s="1"/>
  <c r="M238" i="6" s="1"/>
  <c r="E228" i="6" s="1"/>
  <c r="F228" i="6" s="1"/>
  <c r="D159" i="6"/>
  <c r="H207" i="6"/>
  <c r="G193" i="6"/>
  <c r="H193" i="6" s="1"/>
  <c r="H194" i="6" s="1"/>
  <c r="D187" i="6" s="1"/>
  <c r="D188" i="6" s="1"/>
  <c r="D169" i="6"/>
  <c r="D148" i="6"/>
  <c r="D149" i="6" s="1"/>
  <c r="D140" i="6"/>
  <c r="E119" i="6"/>
  <c r="J67" i="6"/>
  <c r="D130" i="6"/>
  <c r="D97" i="6"/>
  <c r="J97" i="6"/>
  <c r="D60" i="6"/>
  <c r="D61" i="6" s="1"/>
  <c r="D67" i="6" s="1"/>
  <c r="J10" i="6"/>
  <c r="J11" i="6" s="1"/>
  <c r="D195" i="5"/>
  <c r="D188" i="5"/>
  <c r="D190" i="5" s="1"/>
  <c r="D187" i="5"/>
  <c r="F171" i="5"/>
  <c r="F173" i="5" s="1"/>
  <c r="F197" i="5"/>
  <c r="F199" i="5" s="1"/>
  <c r="H187" i="5"/>
  <c r="F165" i="5"/>
  <c r="H171" i="5"/>
  <c r="H173" i="5" s="1"/>
  <c r="H195" i="5"/>
  <c r="I293" i="6" l="1"/>
  <c r="I295" i="6" s="1"/>
  <c r="C296" i="6" s="1"/>
  <c r="O291" i="6"/>
  <c r="O293" i="6" s="1"/>
  <c r="O295" i="6" s="1"/>
  <c r="P293" i="6"/>
  <c r="P295" i="6" s="1"/>
  <c r="Q280" i="6"/>
  <c r="Q291" i="6" s="1"/>
  <c r="G228" i="6"/>
  <c r="G209" i="6"/>
  <c r="H209" i="6" s="1"/>
  <c r="H210" i="6" s="1"/>
  <c r="F187" i="5"/>
  <c r="F186" i="5" s="1"/>
  <c r="F188" i="5" s="1"/>
  <c r="F190" i="5" s="1"/>
  <c r="H197" i="5"/>
  <c r="H199" i="5" s="1"/>
  <c r="H196" i="5"/>
  <c r="D196" i="5"/>
  <c r="J196" i="5" s="1"/>
  <c r="D197" i="5"/>
  <c r="D199" i="5" s="1"/>
  <c r="J199" i="5" s="1"/>
  <c r="J200" i="5" s="1"/>
  <c r="R280" i="6" l="1"/>
  <c r="R291" i="6" s="1"/>
  <c r="Q293" i="6"/>
  <c r="Q295" i="6" s="1"/>
  <c r="H228" i="6"/>
  <c r="H200" i="6"/>
  <c r="H202" i="6" s="1"/>
  <c r="H212" i="6" s="1"/>
  <c r="G200" i="6"/>
  <c r="G202" i="6" s="1"/>
  <c r="G212" i="6" s="1"/>
  <c r="E200" i="6"/>
  <c r="E202" i="6" s="1"/>
  <c r="E212" i="6" s="1"/>
  <c r="F200" i="6"/>
  <c r="F202" i="6" s="1"/>
  <c r="F212" i="6" s="1"/>
  <c r="D148" i="5"/>
  <c r="D147" i="5"/>
  <c r="D146" i="5"/>
  <c r="D145" i="5"/>
  <c r="C146" i="5"/>
  <c r="I138" i="5"/>
  <c r="G140" i="5"/>
  <c r="G139" i="5"/>
  <c r="G138" i="5"/>
  <c r="G137" i="5"/>
  <c r="E139" i="5"/>
  <c r="E138" i="5"/>
  <c r="E137" i="5"/>
  <c r="E140" i="5" s="1"/>
  <c r="D128" i="5"/>
  <c r="D129" i="5" s="1"/>
  <c r="F128" i="5"/>
  <c r="F129" i="5" s="1"/>
  <c r="E128" i="5"/>
  <c r="E129" i="5" s="1"/>
  <c r="F126" i="5"/>
  <c r="E126" i="5"/>
  <c r="D126" i="5"/>
  <c r="C126" i="5"/>
  <c r="D123" i="5"/>
  <c r="E123" i="5"/>
  <c r="F123" i="5"/>
  <c r="C123" i="5"/>
  <c r="I106" i="5"/>
  <c r="I105" i="5"/>
  <c r="I104" i="5"/>
  <c r="I107" i="5" s="1"/>
  <c r="F105" i="5"/>
  <c r="F104" i="5"/>
  <c r="F106" i="5"/>
  <c r="D105" i="5"/>
  <c r="D104" i="5"/>
  <c r="F94" i="5"/>
  <c r="F93" i="5"/>
  <c r="D93" i="5"/>
  <c r="D95" i="5" s="1"/>
  <c r="E86" i="5"/>
  <c r="D86" i="5"/>
  <c r="C86" i="5"/>
  <c r="D82" i="5"/>
  <c r="D83" i="5" s="1"/>
  <c r="E82" i="5"/>
  <c r="E83" i="5" s="1"/>
  <c r="C82" i="5"/>
  <c r="C83" i="5" s="1"/>
  <c r="D61" i="5"/>
  <c r="D62" i="5" s="1"/>
  <c r="C61" i="5"/>
  <c r="C62" i="5" s="1"/>
  <c r="D52" i="5"/>
  <c r="D54" i="5" s="1"/>
  <c r="D56" i="5" s="1"/>
  <c r="C52" i="5"/>
  <c r="C54" i="5" s="1"/>
  <c r="C56" i="5" s="1"/>
  <c r="F40" i="5"/>
  <c r="E39" i="5"/>
  <c r="E41" i="5" s="1"/>
  <c r="E43" i="5" s="1"/>
  <c r="D39" i="5"/>
  <c r="D41" i="5" s="1"/>
  <c r="D43" i="5" s="1"/>
  <c r="C39" i="5"/>
  <c r="C41" i="5" s="1"/>
  <c r="C43" i="5" s="1"/>
  <c r="F38" i="5"/>
  <c r="F37" i="5"/>
  <c r="D21" i="5"/>
  <c r="D27" i="5" s="1"/>
  <c r="E21" i="5"/>
  <c r="E23" i="5" s="1"/>
  <c r="C21" i="5"/>
  <c r="C27" i="5" s="1"/>
  <c r="F22" i="5"/>
  <c r="F19" i="5"/>
  <c r="F20" i="5"/>
  <c r="F18" i="5"/>
  <c r="E8" i="5"/>
  <c r="E10" i="5" s="1"/>
  <c r="E12" i="5" s="1"/>
  <c r="D8" i="5"/>
  <c r="D10" i="5" s="1"/>
  <c r="D12" i="5" s="1"/>
  <c r="C8" i="5"/>
  <c r="C10" i="5" s="1"/>
  <c r="C12" i="5" s="1"/>
  <c r="F7" i="5"/>
  <c r="F6" i="5"/>
  <c r="O289" i="4"/>
  <c r="O286" i="4"/>
  <c r="O287" i="4"/>
  <c r="O288" i="4"/>
  <c r="E276" i="4"/>
  <c r="F276" i="4" s="1"/>
  <c r="O294" i="4" s="1"/>
  <c r="D276" i="4"/>
  <c r="J321" i="4"/>
  <c r="H321" i="4"/>
  <c r="H320" i="4"/>
  <c r="H318" i="4" s="1"/>
  <c r="I318" i="4" s="1"/>
  <c r="K318" i="4" s="1"/>
  <c r="F320" i="4"/>
  <c r="F321" i="4" s="1"/>
  <c r="I319" i="4"/>
  <c r="I316" i="4"/>
  <c r="K316" i="4" s="1"/>
  <c r="G315" i="4"/>
  <c r="I315" i="4" s="1"/>
  <c r="K315" i="4" s="1"/>
  <c r="I314" i="4"/>
  <c r="K314" i="4" s="1"/>
  <c r="G314" i="4"/>
  <c r="I313" i="4"/>
  <c r="K313" i="4" s="1"/>
  <c r="O313" i="4"/>
  <c r="J312" i="4"/>
  <c r="H312" i="4"/>
  <c r="E312" i="4"/>
  <c r="D312" i="4"/>
  <c r="O311" i="4"/>
  <c r="O308" i="4"/>
  <c r="O307" i="4"/>
  <c r="E306" i="4"/>
  <c r="D306" i="4"/>
  <c r="F305" i="4"/>
  <c r="F300" i="4"/>
  <c r="F298" i="4"/>
  <c r="F297" i="4"/>
  <c r="F295" i="4"/>
  <c r="F294" i="4"/>
  <c r="E293" i="4"/>
  <c r="H293" i="4" s="1"/>
  <c r="F292" i="4"/>
  <c r="E291" i="4"/>
  <c r="D291" i="4"/>
  <c r="D293" i="4" s="1"/>
  <c r="F290" i="4"/>
  <c r="G289" i="4"/>
  <c r="F289" i="4"/>
  <c r="E288" i="4"/>
  <c r="D288" i="4"/>
  <c r="J284" i="4"/>
  <c r="I284" i="4"/>
  <c r="F284" i="4"/>
  <c r="O300" i="4" s="1"/>
  <c r="K283" i="4"/>
  <c r="J320" i="4" s="1"/>
  <c r="J319" i="4" s="1"/>
  <c r="K319" i="4" s="1"/>
  <c r="E283" i="4"/>
  <c r="D283" i="4"/>
  <c r="K282" i="4"/>
  <c r="F282" i="4"/>
  <c r="K281" i="4"/>
  <c r="F281" i="4"/>
  <c r="O299" i="4" s="1"/>
  <c r="K280" i="4"/>
  <c r="E320" i="4" s="1"/>
  <c r="F280" i="4"/>
  <c r="O298" i="4" s="1"/>
  <c r="K279" i="4"/>
  <c r="F279" i="4"/>
  <c r="O297" i="4" s="1"/>
  <c r="F278" i="4"/>
  <c r="O296" i="4" s="1"/>
  <c r="J277" i="4"/>
  <c r="I277" i="4"/>
  <c r="K277" i="4" s="1"/>
  <c r="F277" i="4"/>
  <c r="O295" i="4" s="1"/>
  <c r="K276" i="4"/>
  <c r="O283" i="4" s="1"/>
  <c r="B276" i="4"/>
  <c r="A276" i="4"/>
  <c r="K275" i="4"/>
  <c r="F275" i="4"/>
  <c r="O293" i="4" s="1"/>
  <c r="K274" i="4"/>
  <c r="O305" i="4" s="1"/>
  <c r="E274" i="4"/>
  <c r="D274" i="4"/>
  <c r="O273" i="4"/>
  <c r="K273" i="4"/>
  <c r="O304" i="4" s="1"/>
  <c r="F273" i="4"/>
  <c r="O272" i="4"/>
  <c r="J272" i="4"/>
  <c r="I272" i="4"/>
  <c r="F272" i="4"/>
  <c r="O278" i="4" s="1"/>
  <c r="O271" i="4"/>
  <c r="K271" i="4"/>
  <c r="O282" i="4" s="1"/>
  <c r="F271" i="4"/>
  <c r="O292" i="4" s="1"/>
  <c r="K270" i="4"/>
  <c r="F270" i="4"/>
  <c r="O277" i="4" s="1"/>
  <c r="B270" i="4"/>
  <c r="A270" i="4"/>
  <c r="O269" i="4"/>
  <c r="K269" i="4"/>
  <c r="O281" i="4" s="1"/>
  <c r="F269" i="4"/>
  <c r="O291" i="4" s="1"/>
  <c r="K268" i="4"/>
  <c r="O303" i="4" s="1"/>
  <c r="F268" i="4"/>
  <c r="O276" i="4" s="1"/>
  <c r="B268" i="4"/>
  <c r="A268" i="4"/>
  <c r="K267" i="4"/>
  <c r="O280" i="4" s="1"/>
  <c r="F267" i="4"/>
  <c r="O275" i="4" s="1"/>
  <c r="K266" i="4"/>
  <c r="O279" i="4" s="1"/>
  <c r="F266" i="4"/>
  <c r="J265" i="4"/>
  <c r="I265" i="4"/>
  <c r="J255" i="4"/>
  <c r="H255" i="4"/>
  <c r="F254" i="4"/>
  <c r="F255" i="4" s="1"/>
  <c r="I253" i="4"/>
  <c r="I250" i="4"/>
  <c r="K250" i="4" s="1"/>
  <c r="G249" i="4"/>
  <c r="I249" i="4" s="1"/>
  <c r="K249" i="4" s="1"/>
  <c r="G248" i="4"/>
  <c r="I247" i="4"/>
  <c r="K247" i="4" s="1"/>
  <c r="O246" i="4"/>
  <c r="J246" i="4"/>
  <c r="H246" i="4"/>
  <c r="E246" i="4"/>
  <c r="D246" i="4"/>
  <c r="O244" i="4"/>
  <c r="O241" i="4"/>
  <c r="E240" i="4"/>
  <c r="O220" i="4" s="1"/>
  <c r="D240" i="4"/>
  <c r="F239" i="4"/>
  <c r="F234" i="4"/>
  <c r="F232" i="4"/>
  <c r="F231" i="4"/>
  <c r="F229" i="4"/>
  <c r="F228" i="4"/>
  <c r="F226" i="4"/>
  <c r="E225" i="4"/>
  <c r="E227" i="4" s="1"/>
  <c r="D225" i="4"/>
  <c r="F224" i="4"/>
  <c r="G223" i="4"/>
  <c r="F223" i="4"/>
  <c r="E222" i="4"/>
  <c r="D222" i="4"/>
  <c r="O221" i="4"/>
  <c r="J218" i="4"/>
  <c r="I218" i="4"/>
  <c r="F218" i="4"/>
  <c r="O233" i="4" s="1"/>
  <c r="K217" i="4"/>
  <c r="J254" i="4" s="1"/>
  <c r="J253" i="4" s="1"/>
  <c r="K253" i="4" s="1"/>
  <c r="E217" i="4"/>
  <c r="D217" i="4"/>
  <c r="K216" i="4"/>
  <c r="H254" i="4" s="1"/>
  <c r="H252" i="4" s="1"/>
  <c r="I252" i="4" s="1"/>
  <c r="K252" i="4" s="1"/>
  <c r="F216" i="4"/>
  <c r="K215" i="4"/>
  <c r="F215" i="4"/>
  <c r="O232" i="4" s="1"/>
  <c r="K214" i="4"/>
  <c r="E254" i="4" s="1"/>
  <c r="F214" i="4"/>
  <c r="O231" i="4" s="1"/>
  <c r="K213" i="4"/>
  <c r="F213" i="4"/>
  <c r="O230" i="4" s="1"/>
  <c r="F212" i="4"/>
  <c r="O229" i="4" s="1"/>
  <c r="J211" i="4"/>
  <c r="I211" i="4"/>
  <c r="K211" i="4" s="1"/>
  <c r="F211" i="4"/>
  <c r="O228" i="4" s="1"/>
  <c r="K210" i="4"/>
  <c r="O217" i="4" s="1"/>
  <c r="F210" i="4"/>
  <c r="O227" i="4" s="1"/>
  <c r="B210" i="4"/>
  <c r="A210" i="4"/>
  <c r="K209" i="4"/>
  <c r="F209" i="4"/>
  <c r="O226" i="4" s="1"/>
  <c r="K208" i="4"/>
  <c r="O238" i="4" s="1"/>
  <c r="E208" i="4"/>
  <c r="D208" i="4"/>
  <c r="O207" i="4"/>
  <c r="K207" i="4"/>
  <c r="O237" i="4" s="1"/>
  <c r="F207" i="4"/>
  <c r="O206" i="4"/>
  <c r="J206" i="4"/>
  <c r="J212" i="4" s="1"/>
  <c r="I206" i="4"/>
  <c r="I212" i="4" s="1"/>
  <c r="F206" i="4"/>
  <c r="O212" i="4" s="1"/>
  <c r="O205" i="4"/>
  <c r="K205" i="4"/>
  <c r="O216" i="4" s="1"/>
  <c r="F205" i="4"/>
  <c r="O225" i="4" s="1"/>
  <c r="K204" i="4"/>
  <c r="F204" i="4"/>
  <c r="O211" i="4" s="1"/>
  <c r="B204" i="4"/>
  <c r="A204" i="4"/>
  <c r="O203" i="4"/>
  <c r="K203" i="4"/>
  <c r="O215" i="4" s="1"/>
  <c r="F203" i="4"/>
  <c r="O224" i="4" s="1"/>
  <c r="K202" i="4"/>
  <c r="O236" i="4" s="1"/>
  <c r="F202" i="4"/>
  <c r="O210" i="4" s="1"/>
  <c r="B202" i="4"/>
  <c r="A202" i="4"/>
  <c r="K201" i="4"/>
  <c r="O214" i="4" s="1"/>
  <c r="F201" i="4"/>
  <c r="O209" i="4" s="1"/>
  <c r="K200" i="4"/>
  <c r="O213" i="4" s="1"/>
  <c r="F200" i="4"/>
  <c r="J199" i="4"/>
  <c r="I199" i="4"/>
  <c r="E174" i="4"/>
  <c r="D174" i="4"/>
  <c r="J189" i="4"/>
  <c r="H189" i="4"/>
  <c r="F188" i="4"/>
  <c r="F189" i="4" s="1"/>
  <c r="I187" i="4"/>
  <c r="I184" i="4"/>
  <c r="K184" i="4" s="1"/>
  <c r="G183" i="4"/>
  <c r="I183" i="4" s="1"/>
  <c r="K183" i="4" s="1"/>
  <c r="G182" i="4"/>
  <c r="I181" i="4"/>
  <c r="K181" i="4" s="1"/>
  <c r="O180" i="4"/>
  <c r="J180" i="4"/>
  <c r="H180" i="4"/>
  <c r="E180" i="4"/>
  <c r="D180" i="4"/>
  <c r="O178" i="4"/>
  <c r="O175" i="4"/>
  <c r="F174" i="4"/>
  <c r="F173" i="4"/>
  <c r="F168" i="4"/>
  <c r="F166" i="4"/>
  <c r="O161" i="4" s="1"/>
  <c r="F165" i="4"/>
  <c r="F163" i="4"/>
  <c r="F162" i="4"/>
  <c r="F160" i="4"/>
  <c r="E159" i="4"/>
  <c r="E161" i="4" s="1"/>
  <c r="E164" i="4" s="1"/>
  <c r="D159" i="4"/>
  <c r="D161" i="4" s="1"/>
  <c r="D164" i="4" s="1"/>
  <c r="D167" i="4" s="1"/>
  <c r="D169" i="4" s="1"/>
  <c r="F158" i="4"/>
  <c r="G157" i="4"/>
  <c r="F157" i="4"/>
  <c r="E156" i="4"/>
  <c r="D156" i="4"/>
  <c r="O155" i="4"/>
  <c r="O154" i="4"/>
  <c r="J152" i="4"/>
  <c r="I152" i="4"/>
  <c r="F152" i="4"/>
  <c r="O167" i="4" s="1"/>
  <c r="K151" i="4"/>
  <c r="J188" i="4" s="1"/>
  <c r="J187" i="4" s="1"/>
  <c r="E151" i="4"/>
  <c r="D151" i="4"/>
  <c r="K150" i="4"/>
  <c r="H188" i="4" s="1"/>
  <c r="H186" i="4" s="1"/>
  <c r="I186" i="4" s="1"/>
  <c r="K186" i="4" s="1"/>
  <c r="F150" i="4"/>
  <c r="K149" i="4"/>
  <c r="F149" i="4"/>
  <c r="O166" i="4" s="1"/>
  <c r="K148" i="4"/>
  <c r="E188" i="4" s="1"/>
  <c r="F148" i="4"/>
  <c r="O165" i="4" s="1"/>
  <c r="K147" i="4"/>
  <c r="D188" i="4" s="1"/>
  <c r="F147" i="4"/>
  <c r="O164" i="4" s="1"/>
  <c r="F146" i="4"/>
  <c r="O163" i="4" s="1"/>
  <c r="J145" i="4"/>
  <c r="I145" i="4"/>
  <c r="F145" i="4"/>
  <c r="O162" i="4" s="1"/>
  <c r="K144" i="4"/>
  <c r="O151" i="4" s="1"/>
  <c r="F144" i="4"/>
  <c r="B144" i="4"/>
  <c r="A144" i="4"/>
  <c r="K143" i="4"/>
  <c r="F143" i="4"/>
  <c r="O160" i="4" s="1"/>
  <c r="K142" i="4"/>
  <c r="O172" i="4" s="1"/>
  <c r="E142" i="4"/>
  <c r="D142" i="4"/>
  <c r="O141" i="4"/>
  <c r="K141" i="4"/>
  <c r="O171" i="4" s="1"/>
  <c r="F141" i="4"/>
  <c r="O140" i="4"/>
  <c r="J140" i="4"/>
  <c r="I140" i="4"/>
  <c r="F140" i="4"/>
  <c r="O146" i="4" s="1"/>
  <c r="O139" i="4"/>
  <c r="K139" i="4"/>
  <c r="O150" i="4" s="1"/>
  <c r="F139" i="4"/>
  <c r="O159" i="4" s="1"/>
  <c r="K138" i="4"/>
  <c r="F138" i="4"/>
  <c r="O145" i="4" s="1"/>
  <c r="B138" i="4"/>
  <c r="A138" i="4"/>
  <c r="O137" i="4"/>
  <c r="K137" i="4"/>
  <c r="O149" i="4" s="1"/>
  <c r="F137" i="4"/>
  <c r="O158" i="4" s="1"/>
  <c r="K136" i="4"/>
  <c r="O170" i="4" s="1"/>
  <c r="F136" i="4"/>
  <c r="O144" i="4" s="1"/>
  <c r="B136" i="4"/>
  <c r="A136" i="4"/>
  <c r="K135" i="4"/>
  <c r="O148" i="4" s="1"/>
  <c r="F135" i="4"/>
  <c r="O143" i="4" s="1"/>
  <c r="K134" i="4"/>
  <c r="O147" i="4" s="1"/>
  <c r="F134" i="4"/>
  <c r="J133" i="4"/>
  <c r="I133" i="4"/>
  <c r="R281" i="6" l="1"/>
  <c r="R293" i="6" s="1"/>
  <c r="R295" i="6" s="1"/>
  <c r="L296" i="6" s="1"/>
  <c r="I228" i="6"/>
  <c r="D213" i="6"/>
  <c r="F209" i="6"/>
  <c r="D209" i="6" s="1"/>
  <c r="F206" i="6"/>
  <c r="D206" i="6" s="1"/>
  <c r="D107" i="5"/>
  <c r="F107" i="5"/>
  <c r="C129" i="5"/>
  <c r="C128" i="5" s="1"/>
  <c r="F95" i="5"/>
  <c r="C63" i="5"/>
  <c r="C64" i="5" s="1"/>
  <c r="C69" i="5" s="1"/>
  <c r="D63" i="5"/>
  <c r="D64" i="5" s="1"/>
  <c r="D69" i="5" s="1"/>
  <c r="F86" i="5"/>
  <c r="F21" i="5"/>
  <c r="F27" i="5" s="1"/>
  <c r="F39" i="5"/>
  <c r="F41" i="5" s="1"/>
  <c r="F43" i="5" s="1"/>
  <c r="C23" i="5"/>
  <c r="C28" i="5" s="1"/>
  <c r="D23" i="5"/>
  <c r="D28" i="5" s="1"/>
  <c r="F8" i="5"/>
  <c r="F9" i="5" s="1"/>
  <c r="E28" i="5"/>
  <c r="E27" i="5"/>
  <c r="G291" i="4"/>
  <c r="I312" i="4"/>
  <c r="O138" i="4"/>
  <c r="O240" i="4"/>
  <c r="F306" i="4"/>
  <c r="F291" i="4"/>
  <c r="E296" i="4"/>
  <c r="E299" i="4" s="1"/>
  <c r="O267" i="4" s="1"/>
  <c r="O285" i="4" s="1"/>
  <c r="J278" i="4"/>
  <c r="J285" i="4" s="1"/>
  <c r="K272" i="4"/>
  <c r="K284" i="4"/>
  <c r="O306" i="4"/>
  <c r="O309" i="4" s="1"/>
  <c r="D320" i="4"/>
  <c r="I278" i="4"/>
  <c r="I285" i="4" s="1"/>
  <c r="I286" i="4" s="1"/>
  <c r="F283" i="4"/>
  <c r="D285" i="4"/>
  <c r="A285" i="4" s="1"/>
  <c r="A274" i="4"/>
  <c r="F274" i="4"/>
  <c r="F240" i="4"/>
  <c r="O239" i="4"/>
  <c r="O242" i="4" s="1"/>
  <c r="I219" i="4"/>
  <c r="I220" i="4" s="1"/>
  <c r="K218" i="4"/>
  <c r="A208" i="4"/>
  <c r="O301" i="4"/>
  <c r="F293" i="4"/>
  <c r="G293" i="4"/>
  <c r="D296" i="4"/>
  <c r="E321" i="4"/>
  <c r="D321" i="4"/>
  <c r="E285" i="4"/>
  <c r="K312" i="4"/>
  <c r="B274" i="4"/>
  <c r="E230" i="4"/>
  <c r="E233" i="4" s="1"/>
  <c r="H227" i="4"/>
  <c r="G225" i="4"/>
  <c r="F225" i="4"/>
  <c r="J219" i="4"/>
  <c r="E255" i="4"/>
  <c r="I246" i="4"/>
  <c r="K246" i="4" s="1"/>
  <c r="D254" i="4"/>
  <c r="D255" i="4" s="1"/>
  <c r="O204" i="4"/>
  <c r="K206" i="4"/>
  <c r="B208" i="4"/>
  <c r="F217" i="4"/>
  <c r="F208" i="4"/>
  <c r="D219" i="4"/>
  <c r="A219" i="4" s="1"/>
  <c r="O234" i="4"/>
  <c r="I248" i="4"/>
  <c r="K248" i="4" s="1"/>
  <c r="K212" i="4"/>
  <c r="E219" i="4"/>
  <c r="D227" i="4"/>
  <c r="D230" i="4" s="1"/>
  <c r="D233" i="4" s="1"/>
  <c r="D235" i="4" s="1"/>
  <c r="A142" i="4"/>
  <c r="F142" i="4"/>
  <c r="O173" i="4"/>
  <c r="J146" i="4"/>
  <c r="J153" i="4" s="1"/>
  <c r="D189" i="4"/>
  <c r="E189" i="4"/>
  <c r="K145" i="4"/>
  <c r="B142" i="4"/>
  <c r="K152" i="4"/>
  <c r="I146" i="4"/>
  <c r="I153" i="4" s="1"/>
  <c r="I154" i="4" s="1"/>
  <c r="D153" i="4"/>
  <c r="A153" i="4" s="1"/>
  <c r="E153" i="4"/>
  <c r="B153" i="4" s="1"/>
  <c r="F151" i="4"/>
  <c r="F159" i="4"/>
  <c r="G164" i="4"/>
  <c r="E167" i="4"/>
  <c r="F164" i="4"/>
  <c r="K187" i="4"/>
  <c r="O168" i="4"/>
  <c r="F161" i="4"/>
  <c r="O174" i="4"/>
  <c r="G159" i="4"/>
  <c r="H161" i="4"/>
  <c r="K140" i="4"/>
  <c r="G161" i="4"/>
  <c r="I180" i="4"/>
  <c r="I182" i="4"/>
  <c r="K182" i="4" s="1"/>
  <c r="F10" i="5" l="1"/>
  <c r="F11" i="5" s="1"/>
  <c r="F12" i="5" s="1"/>
  <c r="E301" i="4"/>
  <c r="G317" i="4" s="1"/>
  <c r="K278" i="4"/>
  <c r="K285" i="4"/>
  <c r="O310" i="4"/>
  <c r="O312" i="4" s="1"/>
  <c r="O314" i="4" s="1"/>
  <c r="K219" i="4"/>
  <c r="D299" i="4"/>
  <c r="G296" i="4"/>
  <c r="F285" i="4"/>
  <c r="B285" i="4"/>
  <c r="J286" i="4"/>
  <c r="F296" i="4"/>
  <c r="G230" i="4"/>
  <c r="F227" i="4"/>
  <c r="J220" i="4"/>
  <c r="F230" i="4"/>
  <c r="F219" i="4"/>
  <c r="B219" i="4"/>
  <c r="E235" i="4"/>
  <c r="O201" i="4"/>
  <c r="O219" i="4" s="1"/>
  <c r="O222" i="4" s="1"/>
  <c r="O243" i="4" s="1"/>
  <c r="O245" i="4" s="1"/>
  <c r="O247" i="4" s="1"/>
  <c r="F233" i="4"/>
  <c r="G227" i="4"/>
  <c r="O176" i="4"/>
  <c r="K146" i="4"/>
  <c r="F153" i="4"/>
  <c r="J154" i="4"/>
  <c r="K153" i="4"/>
  <c r="E169" i="4"/>
  <c r="F167" i="4"/>
  <c r="O135" i="4"/>
  <c r="O153" i="4" s="1"/>
  <c r="O156" i="4" s="1"/>
  <c r="O177" i="4" s="1"/>
  <c r="O179" i="4" s="1"/>
  <c r="O181" i="4" s="1"/>
  <c r="K180" i="4"/>
  <c r="F23" i="5" l="1"/>
  <c r="D301" i="4"/>
  <c r="F301" i="4" s="1"/>
  <c r="F299" i="4"/>
  <c r="I317" i="4"/>
  <c r="K317" i="4" s="1"/>
  <c r="G320" i="4"/>
  <c r="F235" i="4"/>
  <c r="G251" i="4"/>
  <c r="F169" i="4"/>
  <c r="G185" i="4"/>
  <c r="F28" i="5" l="1"/>
  <c r="G321" i="4"/>
  <c r="I320" i="4"/>
  <c r="I251" i="4"/>
  <c r="K251" i="4" s="1"/>
  <c r="G254" i="4"/>
  <c r="I185" i="4"/>
  <c r="K185" i="4" s="1"/>
  <c r="G188" i="4"/>
  <c r="K320" i="4" l="1"/>
  <c r="K321" i="4" s="1"/>
  <c r="I321" i="4"/>
  <c r="G255" i="4"/>
  <c r="I254" i="4"/>
  <c r="G189" i="4"/>
  <c r="I188" i="4"/>
  <c r="K254" i="4" l="1"/>
  <c r="K255" i="4" s="1"/>
  <c r="I255" i="4"/>
  <c r="K188" i="4"/>
  <c r="K189" i="4" s="1"/>
  <c r="I189" i="4"/>
  <c r="G121" i="4" l="1"/>
  <c r="G120" i="4"/>
  <c r="G123" i="4" s="1"/>
  <c r="D104" i="4"/>
  <c r="G110" i="4" s="1"/>
  <c r="D93" i="4"/>
  <c r="G99" i="4" s="1"/>
  <c r="F104" i="4"/>
  <c r="E110" i="4" s="1"/>
  <c r="F93" i="4"/>
  <c r="E99" i="4" s="1"/>
  <c r="C85" i="4"/>
  <c r="E67" i="4"/>
  <c r="E66" i="4"/>
  <c r="E74" i="4"/>
  <c r="E73" i="4"/>
  <c r="E72" i="4"/>
  <c r="E65" i="4"/>
  <c r="E64" i="4"/>
  <c r="K66" i="4"/>
  <c r="E69" i="4" s="1"/>
  <c r="P65" i="4"/>
  <c r="E70" i="4" s="1"/>
  <c r="K65" i="4"/>
  <c r="E68" i="4" s="1"/>
  <c r="I42" i="4"/>
  <c r="I41" i="4"/>
  <c r="E43" i="4"/>
  <c r="E53" i="4" s="1"/>
  <c r="E42" i="4"/>
  <c r="E41" i="4"/>
  <c r="I151" i="3"/>
  <c r="E149" i="3"/>
  <c r="G146" i="3"/>
  <c r="E146" i="3"/>
  <c r="I135" i="3"/>
  <c r="F135" i="3"/>
  <c r="E133" i="3"/>
  <c r="G149" i="3" s="1"/>
  <c r="E131" i="3"/>
  <c r="D131" i="3" s="1"/>
  <c r="F128" i="3"/>
  <c r="E112" i="4" l="1"/>
  <c r="E54" i="4"/>
  <c r="E100" i="4"/>
  <c r="E71" i="4"/>
  <c r="E75" i="4" s="1"/>
  <c r="E52" i="4"/>
  <c r="F148" i="3"/>
  <c r="L150" i="3" s="1"/>
  <c r="E147" i="3"/>
  <c r="E151" i="3" s="1"/>
  <c r="D148" i="3"/>
  <c r="G147" i="3"/>
  <c r="G151" i="3" s="1"/>
  <c r="D132" i="3"/>
  <c r="L133" i="3" s="1"/>
  <c r="E55" i="4" l="1"/>
  <c r="E59" i="4" s="1"/>
  <c r="I118" i="3" l="1"/>
  <c r="I117" i="3"/>
  <c r="F118" i="3"/>
  <c r="F117" i="3"/>
  <c r="I115" i="3"/>
  <c r="I109" i="3"/>
  <c r="I108" i="3"/>
  <c r="D109" i="3"/>
  <c r="F109" i="3"/>
  <c r="E113" i="3"/>
  <c r="E109" i="3" s="1"/>
  <c r="E108" i="3"/>
  <c r="K94" i="3"/>
  <c r="K93" i="3"/>
  <c r="F95" i="3"/>
  <c r="F91" i="3"/>
  <c r="J91" i="3" s="1"/>
  <c r="K91" i="3" s="1"/>
  <c r="F90" i="3"/>
  <c r="J90" i="3" s="1"/>
  <c r="K90" i="3" s="1"/>
  <c r="F89" i="3"/>
  <c r="J89" i="3" s="1"/>
  <c r="K89" i="3" s="1"/>
  <c r="C92" i="3"/>
  <c r="C95" i="3" s="1"/>
  <c r="C98" i="3" s="1"/>
  <c r="C100" i="3" s="1"/>
  <c r="D80" i="3"/>
  <c r="E75" i="3"/>
  <c r="E74" i="3"/>
  <c r="J62" i="3"/>
  <c r="I63" i="3"/>
  <c r="J63" i="3" s="1"/>
  <c r="J65" i="3"/>
  <c r="G65" i="3"/>
  <c r="G64" i="3" s="1"/>
  <c r="C64" i="3"/>
  <c r="D63" i="3"/>
  <c r="D62" i="3"/>
  <c r="I53" i="3"/>
  <c r="I52" i="3"/>
  <c r="G53" i="3"/>
  <c r="G52" i="3"/>
  <c r="D54" i="3"/>
  <c r="E54" i="3" s="1"/>
  <c r="H45" i="3"/>
  <c r="F33" i="3"/>
  <c r="D31" i="3"/>
  <c r="D32" i="3" s="1"/>
  <c r="D34" i="3" s="1"/>
  <c r="D37" i="3" s="1"/>
  <c r="C22" i="3"/>
  <c r="D21" i="3"/>
  <c r="D20" i="3"/>
  <c r="D8" i="3"/>
  <c r="D9" i="3"/>
  <c r="C10" i="3"/>
  <c r="E132" i="1"/>
  <c r="D132" i="1"/>
  <c r="E131" i="1"/>
  <c r="D131" i="1"/>
  <c r="E130" i="1"/>
  <c r="D130" i="1"/>
  <c r="E109" i="1"/>
  <c r="D109" i="1"/>
  <c r="E108" i="1"/>
  <c r="D108" i="1"/>
  <c r="E107" i="1"/>
  <c r="D107" i="1"/>
  <c r="E86" i="1"/>
  <c r="D86" i="1"/>
  <c r="E85" i="1"/>
  <c r="D85" i="1"/>
  <c r="E84" i="1"/>
  <c r="D84" i="1"/>
  <c r="E56" i="1"/>
  <c r="E55" i="1"/>
  <c r="E54" i="1"/>
  <c r="I136" i="1"/>
  <c r="I135" i="1" s="1"/>
  <c r="H136" i="1"/>
  <c r="H135" i="1" s="1"/>
  <c r="L144" i="1"/>
  <c r="K144" i="1"/>
  <c r="E141" i="1"/>
  <c r="D141" i="1"/>
  <c r="E140" i="1"/>
  <c r="D140" i="1"/>
  <c r="L135" i="1"/>
  <c r="K135" i="1"/>
  <c r="P132" i="1"/>
  <c r="P134" i="1" s="1"/>
  <c r="P137" i="1" s="1"/>
  <c r="O132" i="1"/>
  <c r="O134" i="1" s="1"/>
  <c r="L130" i="1"/>
  <c r="K130" i="1"/>
  <c r="I130" i="1"/>
  <c r="E133" i="1" s="1"/>
  <c r="H130" i="1"/>
  <c r="P129" i="1"/>
  <c r="O129" i="1"/>
  <c r="L129" i="1"/>
  <c r="K129" i="1"/>
  <c r="I129" i="1"/>
  <c r="H129" i="1"/>
  <c r="L121" i="1"/>
  <c r="K121" i="1"/>
  <c r="E118" i="1"/>
  <c r="D118" i="1"/>
  <c r="E117" i="1"/>
  <c r="D117" i="1"/>
  <c r="I113" i="1"/>
  <c r="E119" i="1" s="1"/>
  <c r="H113" i="1"/>
  <c r="D119" i="1" s="1"/>
  <c r="L112" i="1"/>
  <c r="K112" i="1"/>
  <c r="P109" i="1"/>
  <c r="P111" i="1" s="1"/>
  <c r="P114" i="1" s="1"/>
  <c r="O109" i="1"/>
  <c r="O111" i="1" s="1"/>
  <c r="O114" i="1" s="1"/>
  <c r="L107" i="1"/>
  <c r="E111" i="1" s="1"/>
  <c r="K107" i="1"/>
  <c r="I107" i="1"/>
  <c r="H107" i="1"/>
  <c r="P106" i="1"/>
  <c r="O106" i="1"/>
  <c r="L106" i="1"/>
  <c r="K106" i="1"/>
  <c r="I106" i="1"/>
  <c r="H106" i="1"/>
  <c r="L83" i="1"/>
  <c r="P83" i="1"/>
  <c r="O83" i="1"/>
  <c r="K83" i="1"/>
  <c r="I83" i="1"/>
  <c r="H83" i="1"/>
  <c r="L88" i="1"/>
  <c r="I96" i="1"/>
  <c r="I90" i="1"/>
  <c r="E96" i="1" s="1"/>
  <c r="I84" i="1"/>
  <c r="H90" i="1"/>
  <c r="D96" i="1" s="1"/>
  <c r="H96" i="1"/>
  <c r="H89" i="1" s="1"/>
  <c r="H99" i="1" s="1"/>
  <c r="P86" i="1"/>
  <c r="P88" i="1" s="1"/>
  <c r="P91" i="1" s="1"/>
  <c r="P94" i="1" s="1"/>
  <c r="P96" i="1" s="1"/>
  <c r="O86" i="1"/>
  <c r="O88" i="1" s="1"/>
  <c r="O91" i="1" s="1"/>
  <c r="L98" i="1"/>
  <c r="K98" i="1"/>
  <c r="E95" i="1"/>
  <c r="D95" i="1"/>
  <c r="E94" i="1"/>
  <c r="D94" i="1"/>
  <c r="K88" i="1"/>
  <c r="L84" i="1"/>
  <c r="K84" i="1"/>
  <c r="D88" i="1" s="1"/>
  <c r="H84" i="1"/>
  <c r="D65" i="1"/>
  <c r="D64" i="1"/>
  <c r="L65" i="1"/>
  <c r="K65" i="1"/>
  <c r="O56" i="1"/>
  <c r="O58" i="1" s="1"/>
  <c r="O61" i="1" s="1"/>
  <c r="O64" i="1" s="1"/>
  <c r="K58" i="1"/>
  <c r="K54" i="1"/>
  <c r="D58" i="1" s="1"/>
  <c r="H60" i="1"/>
  <c r="H59" i="1" s="1"/>
  <c r="H54" i="1"/>
  <c r="D57" i="1" s="1"/>
  <c r="E65" i="1"/>
  <c r="E64" i="1"/>
  <c r="I60" i="1"/>
  <c r="I59" i="1" s="1"/>
  <c r="L58" i="1"/>
  <c r="P56" i="1"/>
  <c r="L54" i="1"/>
  <c r="E58" i="1" s="1"/>
  <c r="I54" i="1"/>
  <c r="G36" i="1"/>
  <c r="G35" i="1"/>
  <c r="G26" i="1"/>
  <c r="O27" i="1"/>
  <c r="G25" i="1" s="1"/>
  <c r="L29" i="1"/>
  <c r="L25" i="1"/>
  <c r="L35" i="1"/>
  <c r="J31" i="1"/>
  <c r="J30" i="1" s="1"/>
  <c r="J25" i="1"/>
  <c r="D110" i="3" l="1"/>
  <c r="D115" i="3" s="1"/>
  <c r="K92" i="3"/>
  <c r="K95" i="3" s="1"/>
  <c r="F92" i="3"/>
  <c r="G92" i="3" s="1"/>
  <c r="G97" i="3" s="1"/>
  <c r="G98" i="3" s="1"/>
  <c r="J92" i="3"/>
  <c r="J95" i="3" s="1"/>
  <c r="F75" i="3"/>
  <c r="G75" i="3" s="1"/>
  <c r="G54" i="3"/>
  <c r="G56" i="3" s="1"/>
  <c r="J64" i="3"/>
  <c r="J66" i="3" s="1"/>
  <c r="D22" i="3"/>
  <c r="E22" i="3" s="1"/>
  <c r="G22" i="3" s="1"/>
  <c r="H22" i="3" s="1"/>
  <c r="D64" i="3"/>
  <c r="E64" i="3" s="1"/>
  <c r="G62" i="3" s="1"/>
  <c r="I54" i="3"/>
  <c r="I56" i="3" s="1"/>
  <c r="D56" i="3"/>
  <c r="E32" i="3"/>
  <c r="G32" i="3" s="1"/>
  <c r="D10" i="3"/>
  <c r="E10" i="3" s="1"/>
  <c r="G10" i="3" s="1"/>
  <c r="H10" i="3" s="1"/>
  <c r="D45" i="3"/>
  <c r="D47" i="3" s="1"/>
  <c r="D54" i="1"/>
  <c r="D55" i="1"/>
  <c r="D56" i="1"/>
  <c r="D133" i="1"/>
  <c r="O137" i="1"/>
  <c r="O140" i="1" s="1"/>
  <c r="O142" i="1" s="1"/>
  <c r="L140" i="1"/>
  <c r="E138" i="1" s="1"/>
  <c r="K140" i="1"/>
  <c r="K145" i="1" s="1"/>
  <c r="D137" i="1" s="1"/>
  <c r="P140" i="1"/>
  <c r="P142" i="1" s="1"/>
  <c r="D136" i="1"/>
  <c r="H145" i="1"/>
  <c r="D139" i="1" s="1"/>
  <c r="D135" i="1"/>
  <c r="E136" i="1"/>
  <c r="I145" i="1"/>
  <c r="E139" i="1" s="1"/>
  <c r="E135" i="1"/>
  <c r="D142" i="1"/>
  <c r="D134" i="1"/>
  <c r="E142" i="1"/>
  <c r="E134" i="1"/>
  <c r="E110" i="1"/>
  <c r="L117" i="1"/>
  <c r="L122" i="1" s="1"/>
  <c r="E114" i="1" s="1"/>
  <c r="D110" i="1"/>
  <c r="D111" i="1"/>
  <c r="K117" i="1"/>
  <c r="D115" i="1" s="1"/>
  <c r="H112" i="1"/>
  <c r="I112" i="1"/>
  <c r="I122" i="1" s="1"/>
  <c r="E116" i="1" s="1"/>
  <c r="P117" i="1"/>
  <c r="P119" i="1" s="1"/>
  <c r="O117" i="1"/>
  <c r="O119" i="1" s="1"/>
  <c r="I89" i="1"/>
  <c r="I99" i="1" s="1"/>
  <c r="D60" i="1"/>
  <c r="D66" i="1"/>
  <c r="D59" i="1"/>
  <c r="L94" i="1"/>
  <c r="E92" i="1" s="1"/>
  <c r="K94" i="1"/>
  <c r="K99" i="1" s="1"/>
  <c r="D91" i="1" s="1"/>
  <c r="D87" i="1"/>
  <c r="E87" i="1"/>
  <c r="O94" i="1"/>
  <c r="O96" i="1" s="1"/>
  <c r="E88" i="1"/>
  <c r="O66" i="1"/>
  <c r="K61" i="1"/>
  <c r="L61" i="1"/>
  <c r="E62" i="1" s="1"/>
  <c r="H66" i="1"/>
  <c r="D63" i="1" s="1"/>
  <c r="L32" i="1"/>
  <c r="L36" i="1" s="1"/>
  <c r="G32" i="1" s="1"/>
  <c r="G28" i="1"/>
  <c r="G30" i="1"/>
  <c r="E57" i="1"/>
  <c r="E60" i="1"/>
  <c r="I66" i="1"/>
  <c r="E63" i="1" s="1"/>
  <c r="E59" i="1"/>
  <c r="P58" i="1"/>
  <c r="P61" i="1" s="1"/>
  <c r="E66" i="1"/>
  <c r="G37" i="1"/>
  <c r="G29" i="1"/>
  <c r="G31" i="1"/>
  <c r="O29" i="1"/>
  <c r="O31" i="1" s="1"/>
  <c r="J36" i="1"/>
  <c r="G34" i="1" s="1"/>
  <c r="D24" i="3" l="1"/>
  <c r="I75" i="3"/>
  <c r="H75" i="3"/>
  <c r="D79" i="3" s="1"/>
  <c r="D12" i="3"/>
  <c r="D66" i="3"/>
  <c r="E45" i="3"/>
  <c r="H46" i="3" s="1"/>
  <c r="H47" i="3" s="1"/>
  <c r="D138" i="1"/>
  <c r="L145" i="1"/>
  <c r="E137" i="1" s="1"/>
  <c r="E115" i="1"/>
  <c r="K122" i="1"/>
  <c r="D114" i="1" s="1"/>
  <c r="E112" i="1"/>
  <c r="E113" i="1"/>
  <c r="H122" i="1"/>
  <c r="D116" i="1" s="1"/>
  <c r="D113" i="1"/>
  <c r="D112" i="1"/>
  <c r="D89" i="1"/>
  <c r="D93" i="1"/>
  <c r="D90" i="1"/>
  <c r="L99" i="1"/>
  <c r="E91" i="1" s="1"/>
  <c r="K66" i="1"/>
  <c r="D61" i="1" s="1"/>
  <c r="D62" i="1"/>
  <c r="D92" i="1"/>
  <c r="E89" i="1"/>
  <c r="E93" i="1"/>
  <c r="E90" i="1"/>
  <c r="P64" i="1"/>
  <c r="G33" i="1"/>
  <c r="L66" i="1"/>
  <c r="E61" i="1" s="1"/>
  <c r="P66" i="1"/>
  <c r="O33" i="1"/>
  <c r="G27" i="1"/>
  <c r="M227" i="6"/>
  <c r="K229" i="6" s="1"/>
  <c r="M229" i="6" l="1"/>
  <c r="M230" i="6" s="1"/>
  <c r="E221" i="6" s="1"/>
  <c r="F221" i="6" l="1"/>
  <c r="E232" i="6"/>
  <c r="E237" i="6" s="1"/>
  <c r="G221" i="6" l="1"/>
  <c r="F234" i="6"/>
  <c r="F237" i="6" s="1"/>
  <c r="H221" i="6" l="1"/>
  <c r="G234" i="6"/>
  <c r="G237" i="6" s="1"/>
  <c r="I221" i="6" l="1"/>
  <c r="I233" i="6" s="1"/>
  <c r="I237" i="6" s="1"/>
  <c r="H234" i="6"/>
  <c r="H237" i="6" s="1"/>
  <c r="D23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Tatsuo Fujisawa</author>
  </authors>
  <commentList>
    <comment ref="J88" authorId="0" shapeId="0" xr:uid="{AD409A11-EE78-4396-8C5B-BC70907326B6}">
      <text>
        <r>
          <rPr>
            <b/>
            <sz val="9"/>
            <color indexed="81"/>
            <rFont val="MS P ゴシック"/>
            <family val="3"/>
            <charset val="128"/>
          </rPr>
          <t>D社全体の6割相当・・からここを推定させる国語の問題</t>
        </r>
      </text>
    </comment>
  </commentList>
</comments>
</file>

<file path=xl/sharedStrings.xml><?xml version="1.0" encoding="utf-8"?>
<sst xmlns="http://schemas.openxmlformats.org/spreadsheetml/2006/main" count="2327" uniqueCount="966">
  <si>
    <t>テーマ1 経営分析</t>
    <rPh sb="5" eb="7">
      <t>ケイエイ</t>
    </rPh>
    <rPh sb="7" eb="9">
      <t>ブンセキ</t>
    </rPh>
    <phoneticPr fontId="2"/>
  </si>
  <si>
    <t>第1問 主要13指標＋200%おすすめ</t>
    <rPh sb="0" eb="1">
      <t>ダイ</t>
    </rPh>
    <rPh sb="2" eb="3">
      <t>モン</t>
    </rPh>
    <rPh sb="4" eb="6">
      <t>シュヨウ</t>
    </rPh>
    <rPh sb="8" eb="10">
      <t>シヒョウ</t>
    </rPh>
    <phoneticPr fontId="2"/>
  </si>
  <si>
    <t>収益性</t>
    <rPh sb="0" eb="3">
      <t>シュウエキセイ</t>
    </rPh>
    <phoneticPr fontId="2"/>
  </si>
  <si>
    <t>安全性</t>
    <rPh sb="0" eb="3">
      <t>アンゼンセイ</t>
    </rPh>
    <phoneticPr fontId="2"/>
  </si>
  <si>
    <t>効率性</t>
    <rPh sb="0" eb="3">
      <t>コウリツセイ</t>
    </rPh>
    <phoneticPr fontId="2"/>
  </si>
  <si>
    <t>○売上高総利益率</t>
    <rPh sb="1" eb="4">
      <t>ウリアゲダカ</t>
    </rPh>
    <rPh sb="4" eb="8">
      <t>ソウリエキリツ</t>
    </rPh>
    <phoneticPr fontId="2"/>
  </si>
  <si>
    <t>◎売上高営業利益率</t>
    <rPh sb="1" eb="4">
      <t>ウリアゲダカ</t>
    </rPh>
    <rPh sb="4" eb="9">
      <t>エイギョウリエキリツ</t>
    </rPh>
    <phoneticPr fontId="2"/>
  </si>
  <si>
    <t>△売上高経常利益率</t>
    <rPh sb="1" eb="4">
      <t>ウリアゲダカ</t>
    </rPh>
    <rPh sb="4" eb="6">
      <t>ケイツネ</t>
    </rPh>
    <rPh sb="6" eb="9">
      <t>リエキリツ</t>
    </rPh>
    <phoneticPr fontId="2"/>
  </si>
  <si>
    <t>短期 ○流動比率</t>
    <rPh sb="0" eb="2">
      <t>タンキ</t>
    </rPh>
    <rPh sb="4" eb="6">
      <t>リュウドウ</t>
    </rPh>
    <rPh sb="6" eb="8">
      <t>ヒリツ</t>
    </rPh>
    <phoneticPr fontId="2"/>
  </si>
  <si>
    <t>短期 △当座比率</t>
    <rPh sb="0" eb="2">
      <t>タンキ</t>
    </rPh>
    <rPh sb="4" eb="6">
      <t>トウザ</t>
    </rPh>
    <rPh sb="6" eb="8">
      <t>ヒリツ</t>
    </rPh>
    <phoneticPr fontId="2"/>
  </si>
  <si>
    <t>長期 ○固定比率</t>
    <rPh sb="0" eb="2">
      <t>チョウキ</t>
    </rPh>
    <rPh sb="4" eb="8">
      <t>コテイヒリツ</t>
    </rPh>
    <phoneticPr fontId="2"/>
  </si>
  <si>
    <t>長期 △固定長期適合率</t>
    <rPh sb="0" eb="2">
      <t>チョウキ</t>
    </rPh>
    <rPh sb="4" eb="6">
      <t>コテイ</t>
    </rPh>
    <rPh sb="6" eb="8">
      <t>チョウキ</t>
    </rPh>
    <rPh sb="8" eb="11">
      <t>テキゴウリツ</t>
    </rPh>
    <phoneticPr fontId="2"/>
  </si>
  <si>
    <t>調達 ◎自己資本比率</t>
    <rPh sb="0" eb="2">
      <t>チョウタツ</t>
    </rPh>
    <rPh sb="4" eb="8">
      <t>ジコシホン</t>
    </rPh>
    <rPh sb="8" eb="10">
      <t>ヒリツ</t>
    </rPh>
    <phoneticPr fontId="2"/>
  </si>
  <si>
    <t>調達 ×負債比率</t>
    <rPh sb="0" eb="2">
      <t>チョウタツ</t>
    </rPh>
    <rPh sb="4" eb="6">
      <t>フサイ</t>
    </rPh>
    <rPh sb="6" eb="8">
      <t>ヒリツ</t>
    </rPh>
    <phoneticPr fontId="2"/>
  </si>
  <si>
    <t>△総資本回転率</t>
    <rPh sb="1" eb="4">
      <t>ソウシホン</t>
    </rPh>
    <rPh sb="4" eb="7">
      <t>カイテンリツ</t>
    </rPh>
    <phoneticPr fontId="2"/>
  </si>
  <si>
    <t>×売上債権回転率</t>
    <rPh sb="1" eb="3">
      <t>ウリアゲ</t>
    </rPh>
    <rPh sb="3" eb="5">
      <t>サイケン</t>
    </rPh>
    <rPh sb="5" eb="8">
      <t>カイテンリツ</t>
    </rPh>
    <phoneticPr fontId="2"/>
  </si>
  <si>
    <t>○棚卸資産回転率</t>
    <rPh sb="1" eb="5">
      <t>タナオロシシサン</t>
    </rPh>
    <rPh sb="5" eb="8">
      <t>カイテンリツ</t>
    </rPh>
    <phoneticPr fontId="2"/>
  </si>
  <si>
    <t>◎有形固定資産回転率</t>
    <rPh sb="1" eb="3">
      <t>ユウケイ</t>
    </rPh>
    <rPh sb="3" eb="7">
      <t>コテイシサン</t>
    </rPh>
    <rPh sb="7" eb="10">
      <t>カイテンリツ</t>
    </rPh>
    <phoneticPr fontId="2"/>
  </si>
  <si>
    <t>計算式</t>
    <rPh sb="0" eb="3">
      <t>ケイサンシキ</t>
    </rPh>
    <phoneticPr fontId="2"/>
  </si>
  <si>
    <t>分子</t>
    <rPh sb="0" eb="2">
      <t>ブンシ</t>
    </rPh>
    <phoneticPr fontId="2"/>
  </si>
  <si>
    <t>分母</t>
    <rPh sb="0" eb="2">
      <t>ブンボ</t>
    </rPh>
    <phoneticPr fontId="2"/>
  </si>
  <si>
    <t>売上総利益</t>
    <rPh sb="0" eb="2">
      <t>ウリアゲ</t>
    </rPh>
    <rPh sb="2" eb="5">
      <t>ソウリエキ</t>
    </rPh>
    <phoneticPr fontId="2"/>
  </si>
  <si>
    <t>÷売上高</t>
    <rPh sb="1" eb="4">
      <t>ウリアゲダカ</t>
    </rPh>
    <phoneticPr fontId="2"/>
  </si>
  <si>
    <t>営業利益</t>
    <rPh sb="0" eb="4">
      <t>エイギョウリエキ</t>
    </rPh>
    <phoneticPr fontId="2"/>
  </si>
  <si>
    <t>経常利益</t>
    <rPh sb="0" eb="2">
      <t>ケイツネ</t>
    </rPh>
    <rPh sb="2" eb="4">
      <t>リエキ</t>
    </rPh>
    <phoneticPr fontId="2"/>
  </si>
  <si>
    <t>単位</t>
    <rPh sb="0" eb="2">
      <t>タンイ</t>
    </rPh>
    <phoneticPr fontId="2"/>
  </si>
  <si>
    <t>％</t>
    <phoneticPr fontId="2"/>
  </si>
  <si>
    <t>流動資産</t>
    <rPh sb="0" eb="4">
      <t>リュウドウシサン</t>
    </rPh>
    <phoneticPr fontId="2"/>
  </si>
  <si>
    <t>当座資産</t>
    <rPh sb="0" eb="4">
      <t>トウザシサン</t>
    </rPh>
    <phoneticPr fontId="2"/>
  </si>
  <si>
    <t>固定資産</t>
    <rPh sb="0" eb="4">
      <t>コテイシサン</t>
    </rPh>
    <phoneticPr fontId="2"/>
  </si>
  <si>
    <t>自己資本</t>
    <rPh sb="0" eb="4">
      <t>ジコシホン</t>
    </rPh>
    <phoneticPr fontId="2"/>
  </si>
  <si>
    <t>総資本</t>
    <rPh sb="0" eb="3">
      <t>ソウシホン</t>
    </rPh>
    <phoneticPr fontId="2"/>
  </si>
  <si>
    <t>負債</t>
    <rPh sb="0" eb="2">
      <t>フサイ</t>
    </rPh>
    <phoneticPr fontId="2"/>
  </si>
  <si>
    <t>÷自己資本</t>
    <rPh sb="1" eb="5">
      <t>ジコシホン</t>
    </rPh>
    <phoneticPr fontId="2"/>
  </si>
  <si>
    <t>÷総資本</t>
    <rPh sb="1" eb="4">
      <t>ソウシホン</t>
    </rPh>
    <phoneticPr fontId="2"/>
  </si>
  <si>
    <t>÷(固定負債＋自己資本)</t>
    <rPh sb="2" eb="6">
      <t>コテイフサイ</t>
    </rPh>
    <rPh sb="7" eb="11">
      <t>ジコシホン</t>
    </rPh>
    <phoneticPr fontId="2"/>
  </si>
  <si>
    <t>÷流動負債</t>
    <rPh sb="1" eb="5">
      <t>リュウドウフサイ</t>
    </rPh>
    <phoneticPr fontId="2"/>
  </si>
  <si>
    <t>売上高</t>
    <rPh sb="0" eb="3">
      <t>ウリアゲダカ</t>
    </rPh>
    <phoneticPr fontId="2"/>
  </si>
  <si>
    <t>売上債権</t>
    <rPh sb="0" eb="4">
      <t>ウリアゲサイケン</t>
    </rPh>
    <phoneticPr fontId="2"/>
  </si>
  <si>
    <t>棚卸資産</t>
    <rPh sb="0" eb="4">
      <t>タナオロシシサン</t>
    </rPh>
    <phoneticPr fontId="2"/>
  </si>
  <si>
    <t>有形固定資産</t>
    <rPh sb="0" eb="2">
      <t>ユウケイ</t>
    </rPh>
    <rPh sb="2" eb="6">
      <t>コテイシサン</t>
    </rPh>
    <phoneticPr fontId="2"/>
  </si>
  <si>
    <t>回</t>
    <rPh sb="0" eb="1">
      <t>カイ</t>
    </rPh>
    <phoneticPr fontId="2"/>
  </si>
  <si>
    <t>200%短評</t>
    <rPh sb="4" eb="6">
      <t>タンピョウ</t>
    </rPh>
    <phoneticPr fontId="2"/>
  </si>
  <si>
    <t>必ずハズレにはならないオールマイティな指標</t>
    <rPh sb="0" eb="1">
      <t>カナラ</t>
    </rPh>
    <rPh sb="19" eb="21">
      <t>シヒョウ</t>
    </rPh>
    <phoneticPr fontId="2"/>
  </si>
  <si>
    <t>原価率に大きなメリット・デメリットがある時はこれ</t>
    <rPh sb="0" eb="3">
      <t>ゲンカリツ</t>
    </rPh>
    <rPh sb="4" eb="5">
      <t>オオ</t>
    </rPh>
    <rPh sb="20" eb="21">
      <t>トキ</t>
    </rPh>
    <phoneticPr fontId="2"/>
  </si>
  <si>
    <t>借入利息を指摘するときはこれだがゼロ金利時代は出題しにくい</t>
    <rPh sb="0" eb="4">
      <t>カリイレリソク</t>
    </rPh>
    <rPh sb="5" eb="7">
      <t>シテキ</t>
    </rPh>
    <rPh sb="18" eb="20">
      <t>キンリ</t>
    </rPh>
    <rPh sb="20" eb="22">
      <t>ジダイ</t>
    </rPh>
    <rPh sb="23" eb="25">
      <t>シュツダイ</t>
    </rPh>
    <phoneticPr fontId="2"/>
  </si>
  <si>
    <t>常に流動資産＞負債にしないと、借入を止められて黒字倒産に</t>
    <rPh sb="0" eb="1">
      <t>ツネ</t>
    </rPh>
    <rPh sb="2" eb="4">
      <t>リュウドウ</t>
    </rPh>
    <rPh sb="4" eb="6">
      <t>シサン</t>
    </rPh>
    <rPh sb="7" eb="9">
      <t>フサイ</t>
    </rPh>
    <rPh sb="15" eb="17">
      <t>カリイレ</t>
    </rPh>
    <rPh sb="18" eb="19">
      <t>ヤ</t>
    </rPh>
    <rPh sb="23" eb="25">
      <t>クロジ</t>
    </rPh>
    <rPh sb="25" eb="27">
      <t>トウサン</t>
    </rPh>
    <phoneticPr fontId="2"/>
  </si>
  <si>
    <t>流動比率をより厳しくみるケース。近年は出題しにくい</t>
    <rPh sb="0" eb="2">
      <t>リュウドウ</t>
    </rPh>
    <rPh sb="2" eb="4">
      <t>ヒリツ</t>
    </rPh>
    <rPh sb="7" eb="8">
      <t>キビ</t>
    </rPh>
    <rPh sb="16" eb="18">
      <t>キンネン</t>
    </rPh>
    <rPh sb="19" eb="21">
      <t>シュツダイ</t>
    </rPh>
    <phoneticPr fontId="2"/>
  </si>
  <si>
    <t>固定資産が明らかに多すぎる時はこれ</t>
    <rPh sb="0" eb="4">
      <t>コテイシサン</t>
    </rPh>
    <rPh sb="5" eb="6">
      <t>アキ</t>
    </rPh>
    <rPh sb="9" eb="10">
      <t>オオ</t>
    </rPh>
    <rPh sb="13" eb="14">
      <t>トキ</t>
    </rPh>
    <phoneticPr fontId="2"/>
  </si>
  <si>
    <t>長期負債を分母に足してもヤバく、流動比率に支障している時</t>
    <rPh sb="0" eb="2">
      <t>チョウキ</t>
    </rPh>
    <rPh sb="2" eb="4">
      <t>フサイ</t>
    </rPh>
    <rPh sb="5" eb="7">
      <t>ブンボ</t>
    </rPh>
    <rPh sb="8" eb="9">
      <t>タ</t>
    </rPh>
    <rPh sb="16" eb="18">
      <t>リュウドウ</t>
    </rPh>
    <rPh sb="18" eb="20">
      <t>ヒリツ</t>
    </rPh>
    <rPh sb="21" eb="23">
      <t>シショウ</t>
    </rPh>
    <rPh sb="27" eb="28">
      <t>トキ</t>
    </rPh>
    <phoneticPr fontId="2"/>
  </si>
  <si>
    <t>一般に30〜50%の範囲が妥当。WACCで使うので馴染みやすい</t>
    <rPh sb="0" eb="2">
      <t>イッパン</t>
    </rPh>
    <rPh sb="10" eb="12">
      <t>ハンイ</t>
    </rPh>
    <rPh sb="13" eb="15">
      <t>ダトウ</t>
    </rPh>
    <rPh sb="21" eb="22">
      <t>ツカ</t>
    </rPh>
    <rPh sb="25" eb="27">
      <t>ナジ</t>
    </rPh>
    <phoneticPr fontId="2"/>
  </si>
  <si>
    <t>自己資本比率と同じ意味。負債レバレッジ以外で使う意味がない</t>
    <rPh sb="0" eb="4">
      <t>ジコシホン</t>
    </rPh>
    <rPh sb="4" eb="6">
      <t>ヒリツ</t>
    </rPh>
    <rPh sb="7" eb="8">
      <t>オナ</t>
    </rPh>
    <rPh sb="9" eb="11">
      <t>イミ</t>
    </rPh>
    <rPh sb="12" eb="14">
      <t>フサイ</t>
    </rPh>
    <rPh sb="19" eb="21">
      <t>イガイ</t>
    </rPh>
    <rPh sb="22" eb="23">
      <t>ツカ</t>
    </rPh>
    <rPh sb="24" eb="26">
      <t>イミ</t>
    </rPh>
    <phoneticPr fontId="2"/>
  </si>
  <si>
    <t>棚卸＋有形固定資産両方とも過大な時に使う</t>
    <rPh sb="0" eb="2">
      <t>タナオロシ</t>
    </rPh>
    <rPh sb="3" eb="5">
      <t>ユウケイ</t>
    </rPh>
    <rPh sb="5" eb="9">
      <t>コテイシサン</t>
    </rPh>
    <rPh sb="9" eb="11">
      <t>リョウホウ</t>
    </rPh>
    <rPh sb="13" eb="15">
      <t>カダイ</t>
    </rPh>
    <rPh sb="16" eb="17">
      <t>トキ</t>
    </rPh>
    <rPh sb="18" eb="19">
      <t>ツカ</t>
    </rPh>
    <phoneticPr fontId="2"/>
  </si>
  <si>
    <t>スクールは入れてくるが実務で使うケースは稀。外してOK</t>
    <rPh sb="5" eb="6">
      <t>イ</t>
    </rPh>
    <rPh sb="11" eb="13">
      <t>ジツム</t>
    </rPh>
    <rPh sb="14" eb="15">
      <t>ツカ</t>
    </rPh>
    <rPh sb="20" eb="21">
      <t>マレ</t>
    </rPh>
    <rPh sb="22" eb="23">
      <t>ハズ</t>
    </rPh>
    <phoneticPr fontId="2"/>
  </si>
  <si>
    <t>経営効率上、過大な在庫は悪です。</t>
    <rPh sb="0" eb="2">
      <t>ケイエイ</t>
    </rPh>
    <rPh sb="2" eb="5">
      <t>コウリツジョウ</t>
    </rPh>
    <rPh sb="6" eb="8">
      <t>カダイ</t>
    </rPh>
    <rPh sb="9" eb="11">
      <t>ザイコ</t>
    </rPh>
    <rPh sb="12" eb="13">
      <t>アク</t>
    </rPh>
    <phoneticPr fontId="2"/>
  </si>
  <si>
    <t>投資のし過ぎは在庫より問題に。経営悪化の原因になります。</t>
    <rPh sb="0" eb="2">
      <t>トウシ</t>
    </rPh>
    <rPh sb="4" eb="5">
      <t>ス</t>
    </rPh>
    <rPh sb="7" eb="9">
      <t>ザイコ</t>
    </rPh>
    <rPh sb="11" eb="13">
      <t>モンダイ</t>
    </rPh>
    <rPh sb="15" eb="17">
      <t>ケイエイ</t>
    </rPh>
    <rPh sb="17" eb="19">
      <t>アッカ</t>
    </rPh>
    <rPh sb="20" eb="22">
      <t>ゲンイン</t>
    </rPh>
    <phoneticPr fontId="2"/>
  </si>
  <si>
    <t>経営分析はどの指標でも幅広く加点、かつ猫でも満点と言われ、選ぶ指標で点差がつくことは最近ではまずない。</t>
    <rPh sb="0" eb="2">
      <t>ケイエイ</t>
    </rPh>
    <rPh sb="2" eb="4">
      <t>ブンセキ</t>
    </rPh>
    <rPh sb="7" eb="9">
      <t>シヒョウ</t>
    </rPh>
    <rPh sb="11" eb="13">
      <t>ハバヒロ</t>
    </rPh>
    <rPh sb="14" eb="16">
      <t>カテン</t>
    </rPh>
    <rPh sb="19" eb="20">
      <t>ネコ</t>
    </rPh>
    <rPh sb="22" eb="24">
      <t>マンテン</t>
    </rPh>
    <rPh sb="25" eb="26">
      <t>イ</t>
    </rPh>
    <rPh sb="29" eb="30">
      <t>エラ</t>
    </rPh>
    <rPh sb="31" eb="33">
      <t>シヒョウ</t>
    </rPh>
    <rPh sb="34" eb="36">
      <t>テンサ</t>
    </rPh>
    <rPh sb="42" eb="44">
      <t>サイキン</t>
    </rPh>
    <phoneticPr fontId="2"/>
  </si>
  <si>
    <t>そこでムキになって指標を当てに行くのでなく、自分好みの3つをデフォで持っておき、数値が明らかに違うときのみ指標を変えることが近年のセオリー。</t>
    <rPh sb="9" eb="11">
      <t>シヒョウ</t>
    </rPh>
    <rPh sb="12" eb="13">
      <t>ア</t>
    </rPh>
    <rPh sb="15" eb="16">
      <t>イ</t>
    </rPh>
    <rPh sb="22" eb="24">
      <t>ジブン</t>
    </rPh>
    <rPh sb="24" eb="25">
      <t>コノ</t>
    </rPh>
    <rPh sb="34" eb="35">
      <t>モ</t>
    </rPh>
    <rPh sb="40" eb="42">
      <t>スウチ</t>
    </rPh>
    <rPh sb="43" eb="44">
      <t>アキ</t>
    </rPh>
    <rPh sb="47" eb="48">
      <t>チガ</t>
    </rPh>
    <rPh sb="53" eb="55">
      <t>シヒョウ</t>
    </rPh>
    <rPh sb="56" eb="57">
      <t>カ</t>
    </rPh>
    <rPh sb="62" eb="64">
      <t>キンネン</t>
    </rPh>
    <phoneticPr fontId="2"/>
  </si>
  <si>
    <t>第2問 経営分析はエクセルで復習を</t>
    <rPh sb="0" eb="1">
      <t>ダイ</t>
    </rPh>
    <rPh sb="2" eb="3">
      <t>モン</t>
    </rPh>
    <rPh sb="4" eb="8">
      <t>ケイエイブンセキ</t>
    </rPh>
    <rPh sb="14" eb="16">
      <t>フクシュウ</t>
    </rPh>
    <phoneticPr fontId="2"/>
  </si>
  <si>
    <t xml:space="preserve"> 現金及び預金</t>
    <rPh sb="1" eb="3">
      <t>ゲンキン</t>
    </rPh>
    <rPh sb="3" eb="4">
      <t>オヨ</t>
    </rPh>
    <rPh sb="5" eb="7">
      <t>ヨキン</t>
    </rPh>
    <phoneticPr fontId="2"/>
  </si>
  <si>
    <t xml:space="preserve"> 売上債権</t>
    <rPh sb="1" eb="5">
      <t>ウリアゲサイケン</t>
    </rPh>
    <phoneticPr fontId="2"/>
  </si>
  <si>
    <t xml:space="preserve"> 棚卸資産</t>
    <rPh sb="1" eb="5">
      <t>タナオロシシサン</t>
    </rPh>
    <phoneticPr fontId="2"/>
  </si>
  <si>
    <t xml:space="preserve"> その他</t>
    <rPh sb="3" eb="4">
      <t>タ</t>
    </rPh>
    <phoneticPr fontId="2"/>
  </si>
  <si>
    <t xml:space="preserve"> 有形固定資産</t>
    <rPh sb="1" eb="3">
      <t>ユウケイ</t>
    </rPh>
    <rPh sb="3" eb="7">
      <t>コテイシサン</t>
    </rPh>
    <phoneticPr fontId="2"/>
  </si>
  <si>
    <t xml:space="preserve">  建物</t>
    <rPh sb="2" eb="4">
      <t>タテモノ</t>
    </rPh>
    <phoneticPr fontId="2"/>
  </si>
  <si>
    <t xml:space="preserve">  構築物</t>
    <rPh sb="2" eb="5">
      <t>コウチクブツ</t>
    </rPh>
    <phoneticPr fontId="2"/>
  </si>
  <si>
    <t xml:space="preserve">  土地</t>
    <rPh sb="2" eb="4">
      <t>トチ</t>
    </rPh>
    <phoneticPr fontId="2"/>
  </si>
  <si>
    <t xml:space="preserve"> 投資その他の資産</t>
    <rPh sb="1" eb="3">
      <t>トウシ</t>
    </rPh>
    <rPh sb="5" eb="6">
      <t>タ</t>
    </rPh>
    <rPh sb="7" eb="9">
      <t>シサン</t>
    </rPh>
    <phoneticPr fontId="2"/>
  </si>
  <si>
    <t>合計</t>
    <rPh sb="0" eb="2">
      <t>ゴウケイ</t>
    </rPh>
    <phoneticPr fontId="2"/>
  </si>
  <si>
    <t>流動負債</t>
    <rPh sb="0" eb="4">
      <t>リュウドウフサイ</t>
    </rPh>
    <phoneticPr fontId="2"/>
  </si>
  <si>
    <t xml:space="preserve"> 仕入債務</t>
    <rPh sb="1" eb="5">
      <t>シイレサイム</t>
    </rPh>
    <phoneticPr fontId="2"/>
  </si>
  <si>
    <t xml:space="preserve"> 短期借入金</t>
    <rPh sb="1" eb="6">
      <t>タンキカリイレキン</t>
    </rPh>
    <phoneticPr fontId="2"/>
  </si>
  <si>
    <t>固定負債</t>
    <rPh sb="0" eb="4">
      <t>コテイフサイ</t>
    </rPh>
    <phoneticPr fontId="2"/>
  </si>
  <si>
    <t xml:space="preserve"> 長期借入金</t>
    <rPh sb="1" eb="6">
      <t>チョウキカリイレキン</t>
    </rPh>
    <phoneticPr fontId="2"/>
  </si>
  <si>
    <t>負債合計</t>
    <rPh sb="0" eb="2">
      <t>フサイ</t>
    </rPh>
    <rPh sb="2" eb="4">
      <t>ゴウケイ</t>
    </rPh>
    <phoneticPr fontId="2"/>
  </si>
  <si>
    <t>資本金</t>
    <rPh sb="0" eb="3">
      <t>シホンキン</t>
    </rPh>
    <phoneticPr fontId="2"/>
  </si>
  <si>
    <t>剰余金</t>
    <rPh sb="0" eb="3">
      <t>ジョウヨキン</t>
    </rPh>
    <phoneticPr fontId="2"/>
  </si>
  <si>
    <t>純資産合計</t>
    <rPh sb="0" eb="3">
      <t>ジュンシサン</t>
    </rPh>
    <rPh sb="3" eb="5">
      <t>ゴウケイ</t>
    </rPh>
    <phoneticPr fontId="2"/>
  </si>
  <si>
    <t>貸借対照表</t>
    <rPh sb="0" eb="5">
      <t>タイシャクタイショウヒョウ</t>
    </rPh>
    <phoneticPr fontId="2"/>
  </si>
  <si>
    <t>損益計算書</t>
    <rPh sb="0" eb="5">
      <t>ソンエキケイサンショ</t>
    </rPh>
    <phoneticPr fontId="2"/>
  </si>
  <si>
    <t>売上原価</t>
    <rPh sb="0" eb="4">
      <t>ウリアゲゲンカ</t>
    </rPh>
    <phoneticPr fontId="2"/>
  </si>
  <si>
    <t xml:space="preserve"> 売上総利益</t>
    <rPh sb="1" eb="6">
      <t>ウリアゲソウリエキ</t>
    </rPh>
    <phoneticPr fontId="2"/>
  </si>
  <si>
    <t xml:space="preserve">販管費 </t>
    <rPh sb="0" eb="3">
      <t>ハンカンヒ</t>
    </rPh>
    <phoneticPr fontId="2"/>
  </si>
  <si>
    <t xml:space="preserve"> 営業利益</t>
    <rPh sb="1" eb="5">
      <t>エイギョウリエキ</t>
    </rPh>
    <phoneticPr fontId="2"/>
  </si>
  <si>
    <t>営業外費用</t>
    <rPh sb="0" eb="3">
      <t>エイギョウガイ</t>
    </rPh>
    <rPh sb="3" eb="5">
      <t>ヒヨウ</t>
    </rPh>
    <phoneticPr fontId="2"/>
  </si>
  <si>
    <t xml:space="preserve"> 経常利益</t>
    <rPh sb="1" eb="5">
      <t>ケイツネリエキ</t>
    </rPh>
    <phoneticPr fontId="2"/>
  </si>
  <si>
    <t>法人税等</t>
    <rPh sb="0" eb="4">
      <t>ホウジンゼイトウ</t>
    </rPh>
    <phoneticPr fontId="2"/>
  </si>
  <si>
    <t xml:space="preserve"> 当期純利益</t>
    <rPh sb="1" eb="6">
      <t>トウキジュンリエキ</t>
    </rPh>
    <phoneticPr fontId="2"/>
  </si>
  <si>
    <t>第1問の13指標をコピペし、第2問のBS･PLを使い関数を使って実際に計算する。</t>
    <rPh sb="0" eb="1">
      <t>ダイ</t>
    </rPh>
    <rPh sb="2" eb="3">
      <t>モン</t>
    </rPh>
    <rPh sb="6" eb="8">
      <t>シヒョウ</t>
    </rPh>
    <rPh sb="14" eb="15">
      <t>ダイ</t>
    </rPh>
    <rPh sb="16" eb="17">
      <t>モン</t>
    </rPh>
    <rPh sb="24" eb="25">
      <t>ツカ</t>
    </rPh>
    <rPh sb="26" eb="28">
      <t>カンスウ</t>
    </rPh>
    <rPh sb="29" eb="30">
      <t>ツカ</t>
    </rPh>
    <rPh sb="32" eb="34">
      <t>ジッサイ</t>
    </rPh>
    <rPh sb="35" eb="37">
      <t>ケイサン</t>
    </rPh>
    <phoneticPr fontId="2"/>
  </si>
  <si>
    <t>%</t>
    <phoneticPr fontId="2"/>
  </si>
  <si>
    <t>回</t>
    <rPh sb="0" eb="1">
      <t>カイ</t>
    </rPh>
    <phoneticPr fontId="2"/>
  </si>
  <si>
    <t>手書き＋電卓は遠回りで、エクセル入力＋関数式が効率的と実感させる良問</t>
    <rPh sb="0" eb="2">
      <t>テガ</t>
    </rPh>
    <rPh sb="4" eb="6">
      <t>デンタク</t>
    </rPh>
    <rPh sb="7" eb="9">
      <t>トオマワ</t>
    </rPh>
    <rPh sb="16" eb="18">
      <t>ニュウリョク</t>
    </rPh>
    <rPh sb="19" eb="22">
      <t>カンスウシキ</t>
    </rPh>
    <rPh sb="23" eb="26">
      <t>コウリツテキ</t>
    </rPh>
    <rPh sb="27" eb="29">
      <t>ジッカン</t>
    </rPh>
    <rPh sb="32" eb="34">
      <t>リョウモン</t>
    </rPh>
    <phoneticPr fontId="2"/>
  </si>
  <si>
    <t>第3問 比率の変化</t>
    <rPh sb="0" eb="1">
      <t>ダイ</t>
    </rPh>
    <rPh sb="2" eb="3">
      <t>モン</t>
    </rPh>
    <rPh sb="4" eb="6">
      <t>ヒリツ</t>
    </rPh>
    <rPh sb="7" eb="9">
      <t>ヘンカ</t>
    </rPh>
    <phoneticPr fontId="2"/>
  </si>
  <si>
    <t>収益性→PL、効率性PL×BS、安全性→BSで作る。当問ではBSのハコを描いて考える。</t>
    <rPh sb="0" eb="3">
      <t>シュウエキセイ</t>
    </rPh>
    <rPh sb="7" eb="10">
      <t>コウリツセイ</t>
    </rPh>
    <rPh sb="16" eb="19">
      <t>アンゼンセイ</t>
    </rPh>
    <rPh sb="23" eb="24">
      <t>ツク</t>
    </rPh>
    <rPh sb="26" eb="28">
      <t>トウモン</t>
    </rPh>
    <rPh sb="36" eb="37">
      <t>カ</t>
    </rPh>
    <rPh sb="39" eb="40">
      <t>カンガ</t>
    </rPh>
    <phoneticPr fontId="2"/>
  </si>
  <si>
    <t>流動資産</t>
    <rPh sb="0" eb="4">
      <t>リュウドウシサン</t>
    </rPh>
    <phoneticPr fontId="2"/>
  </si>
  <si>
    <t>固定資産</t>
    <rPh sb="0" eb="4">
      <t>コテイシサン</t>
    </rPh>
    <phoneticPr fontId="2"/>
  </si>
  <si>
    <t>↓</t>
    <phoneticPr fontId="2"/>
  </si>
  <si>
    <t>流動負債</t>
    <rPh sb="0" eb="4">
      <t>リュウドウフサイ</t>
    </rPh>
    <phoneticPr fontId="2"/>
  </si>
  <si>
    <t>固定負債 ↓</t>
    <rPh sb="0" eb="4">
      <t>コテイフサイ</t>
    </rPh>
    <phoneticPr fontId="2"/>
  </si>
  <si>
    <t>純資産</t>
    <rPh sb="0" eb="3">
      <t>ジュンシサン</t>
    </rPh>
    <phoneticPr fontId="2"/>
  </si>
  <si>
    <t>財務指標</t>
    <rPh sb="0" eb="4">
      <t>ザイムシヒョウ</t>
    </rPh>
    <phoneticPr fontId="2"/>
  </si>
  <si>
    <t>流動比率</t>
    <rPh sb="0" eb="2">
      <t>リュウドウ</t>
    </rPh>
    <rPh sb="2" eb="4">
      <t>ヒリツ</t>
    </rPh>
    <phoneticPr fontId="2"/>
  </si>
  <si>
    <t>当座比率</t>
    <rPh sb="0" eb="2">
      <t>トウザ</t>
    </rPh>
    <rPh sb="2" eb="4">
      <t>ヒリツ</t>
    </rPh>
    <phoneticPr fontId="2"/>
  </si>
  <si>
    <t>自己資本比率</t>
    <rPh sb="0" eb="4">
      <t>ジコシホン</t>
    </rPh>
    <rPh sb="4" eb="6">
      <t>ヒリツ</t>
    </rPh>
    <phoneticPr fontId="2"/>
  </si>
  <si>
    <t>負債比率</t>
    <rPh sb="0" eb="2">
      <t>フサイ</t>
    </rPh>
    <rPh sb="2" eb="4">
      <t>ヒリツ</t>
    </rPh>
    <phoneticPr fontId="2"/>
  </si>
  <si>
    <t>影響</t>
    <rPh sb="0" eb="2">
      <t>エイキョウ</t>
    </rPh>
    <phoneticPr fontId="2"/>
  </si>
  <si>
    <t>→</t>
    <phoneticPr fontId="2"/>
  </si>
  <si>
    <t>↑</t>
    <phoneticPr fontId="2"/>
  </si>
  <si>
    <t>↑ ※数字は下がる</t>
    <rPh sb="3" eb="5">
      <t>スウジ</t>
    </rPh>
    <rPh sb="6" eb="7">
      <t>サ</t>
    </rPh>
    <phoneticPr fontId="2"/>
  </si>
  <si>
    <t>第4問 ケース問題</t>
    <rPh sb="0" eb="1">
      <t>ダイ</t>
    </rPh>
    <rPh sb="2" eb="3">
      <t>モン</t>
    </rPh>
    <rPh sb="7" eb="9">
      <t>モンダイ</t>
    </rPh>
    <phoneticPr fontId="2"/>
  </si>
  <si>
    <t>経営分析をエクセルで解くときは前の設問の関数のコピペで時短し、解くスピードを上げる。</t>
    <rPh sb="0" eb="4">
      <t>ケイエイブンセキ</t>
    </rPh>
    <rPh sb="10" eb="11">
      <t>ト</t>
    </rPh>
    <rPh sb="15" eb="16">
      <t>マエ</t>
    </rPh>
    <rPh sb="17" eb="19">
      <t>セツモン</t>
    </rPh>
    <rPh sb="20" eb="22">
      <t>カンスウ</t>
    </rPh>
    <rPh sb="27" eb="29">
      <t>ジタン</t>
    </rPh>
    <rPh sb="31" eb="32">
      <t>ト</t>
    </rPh>
    <rPh sb="38" eb="39">
      <t>ア</t>
    </rPh>
    <phoneticPr fontId="2"/>
  </si>
  <si>
    <t>※電卓パチパチの計算ではなく、良問を数多く繰り返し解くことで体で覚え、判断力を高める。</t>
    <rPh sb="1" eb="3">
      <t>デンタク</t>
    </rPh>
    <rPh sb="8" eb="10">
      <t>ケイサン</t>
    </rPh>
    <rPh sb="15" eb="17">
      <t>リョウモン</t>
    </rPh>
    <rPh sb="18" eb="20">
      <t>カズオオ</t>
    </rPh>
    <rPh sb="21" eb="22">
      <t>ク</t>
    </rPh>
    <rPh sb="23" eb="24">
      <t>カエ</t>
    </rPh>
    <rPh sb="25" eb="26">
      <t>ト</t>
    </rPh>
    <rPh sb="30" eb="31">
      <t>カラダ</t>
    </rPh>
    <rPh sb="32" eb="33">
      <t>オボ</t>
    </rPh>
    <rPh sb="35" eb="38">
      <t>ハンダンリョク</t>
    </rPh>
    <rPh sb="39" eb="40">
      <t>タカ</t>
    </rPh>
    <phoneticPr fontId="2"/>
  </si>
  <si>
    <t>当期</t>
    <rPh sb="0" eb="2">
      <t>トウキ</t>
    </rPh>
    <phoneticPr fontId="2"/>
  </si>
  <si>
    <t>前期</t>
    <rPh sb="0" eb="2">
      <t>ゼンキ</t>
    </rPh>
    <phoneticPr fontId="2"/>
  </si>
  <si>
    <t xml:space="preserve">  その他有形固定資産</t>
    <rPh sb="4" eb="5">
      <t>タ</t>
    </rPh>
    <rPh sb="5" eb="7">
      <t>ユウケイ</t>
    </rPh>
    <rPh sb="7" eb="11">
      <t>コテイシサン</t>
    </rPh>
    <phoneticPr fontId="2"/>
  </si>
  <si>
    <t>利益剰余金</t>
    <rPh sb="0" eb="2">
      <t>リエキ</t>
    </rPh>
    <rPh sb="2" eb="5">
      <t>ジョウヨキン</t>
    </rPh>
    <phoneticPr fontId="2"/>
  </si>
  <si>
    <t>営業外収益</t>
    <rPh sb="0" eb="3">
      <t>エイギョウガイ</t>
    </rPh>
    <rPh sb="3" eb="5">
      <t>シュウエキ</t>
    </rPh>
    <phoneticPr fontId="2"/>
  </si>
  <si>
    <t>特別利益</t>
    <rPh sb="0" eb="2">
      <t>トクベツ</t>
    </rPh>
    <rPh sb="2" eb="4">
      <t>リエキ</t>
    </rPh>
    <phoneticPr fontId="2"/>
  </si>
  <si>
    <t>特別損失</t>
    <rPh sb="0" eb="2">
      <t>トクベツ</t>
    </rPh>
    <rPh sb="2" eb="4">
      <t>ソンシツ</t>
    </rPh>
    <phoneticPr fontId="2"/>
  </si>
  <si>
    <t xml:space="preserve"> 税引前当期純利益</t>
    <rPh sb="1" eb="4">
      <t>ゼイビキマエ</t>
    </rPh>
    <rPh sb="4" eb="6">
      <t>トウキ</t>
    </rPh>
    <rPh sb="6" eb="9">
      <t>ジュンリエキ</t>
    </rPh>
    <phoneticPr fontId="2"/>
  </si>
  <si>
    <t>(設問1)</t>
    <rPh sb="1" eb="3">
      <t>セツモン</t>
    </rPh>
    <phoneticPr fontId="2"/>
  </si>
  <si>
    <t>収益性</t>
    <rPh sb="0" eb="3">
      <t>シュウエキセイ</t>
    </rPh>
    <phoneticPr fontId="2"/>
  </si>
  <si>
    <t>①</t>
    <phoneticPr fontId="2"/>
  </si>
  <si>
    <t>②</t>
    <phoneticPr fontId="2"/>
  </si>
  <si>
    <t>③</t>
    <phoneticPr fontId="2"/>
  </si>
  <si>
    <t>効率性</t>
    <rPh sb="0" eb="3">
      <t>コウリツセイ</t>
    </rPh>
    <phoneticPr fontId="2"/>
  </si>
  <si>
    <t>安全性</t>
    <rPh sb="0" eb="3">
      <t>アンゼンセイ</t>
    </rPh>
    <phoneticPr fontId="2"/>
  </si>
  <si>
    <t>④</t>
    <phoneticPr fontId="2"/>
  </si>
  <si>
    <t>⑤</t>
    <phoneticPr fontId="2"/>
  </si>
  <si>
    <t>⑥</t>
    <phoneticPr fontId="2"/>
  </si>
  <si>
    <t>課題</t>
    <rPh sb="0" eb="2">
      <t>カダイ</t>
    </rPh>
    <phoneticPr fontId="2"/>
  </si>
  <si>
    <t>指標選定</t>
    <rPh sb="0" eb="2">
      <t>シヒョウ</t>
    </rPh>
    <rPh sb="2" eb="4">
      <t>センテイ</t>
    </rPh>
    <phoneticPr fontId="2"/>
  </si>
  <si>
    <t>⑦</t>
    <phoneticPr fontId="2"/>
  </si>
  <si>
    <t>⑧</t>
    <phoneticPr fontId="2"/>
  </si>
  <si>
    <t>減少</t>
    <rPh sb="0" eb="2">
      <t>ゲンショウ</t>
    </rPh>
    <phoneticPr fontId="2"/>
  </si>
  <si>
    <t>増加</t>
    <rPh sb="0" eb="2">
      <t>ゾウカ</t>
    </rPh>
    <phoneticPr fontId="2"/>
  </si>
  <si>
    <t>←費用＝売上原価＋販管費で考える</t>
    <rPh sb="1" eb="3">
      <t>ヒヨウ</t>
    </rPh>
    <rPh sb="4" eb="8">
      <t>ウリアゲゲンカ</t>
    </rPh>
    <rPh sb="9" eb="12">
      <t>ハンカンヒ</t>
    </rPh>
    <rPh sb="13" eb="14">
      <t>カンガ</t>
    </rPh>
    <phoneticPr fontId="2"/>
  </si>
  <si>
    <t>ー</t>
    <phoneticPr fontId="2"/>
  </si>
  <si>
    <t>売上総利益率</t>
    <rPh sb="0" eb="6">
      <t>ウリアゲソウリエキリツ</t>
    </rPh>
    <phoneticPr fontId="2"/>
  </si>
  <si>
    <t>有形固定資産回転率</t>
    <rPh sb="0" eb="6">
      <t>ユウケイコテイシサン</t>
    </rPh>
    <rPh sb="6" eb="9">
      <t>カイテンリツ</t>
    </rPh>
    <phoneticPr fontId="2"/>
  </si>
  <si>
    <t>※与件から拾う</t>
    <rPh sb="1" eb="3">
      <t>ヨケン</t>
    </rPh>
    <rPh sb="5" eb="6">
      <t>ヒロ</t>
    </rPh>
    <phoneticPr fontId="2"/>
  </si>
  <si>
    <t>指標計算 BS、PLを慌てずコピペしてから</t>
    <rPh sb="0" eb="2">
      <t>シヒョウ</t>
    </rPh>
    <rPh sb="2" eb="4">
      <t>ケイサン</t>
    </rPh>
    <rPh sb="11" eb="12">
      <t>アワ</t>
    </rPh>
    <phoneticPr fontId="2"/>
  </si>
  <si>
    <t>応用第１問 ケース問題</t>
    <rPh sb="0" eb="2">
      <t>オウヨウ</t>
    </rPh>
    <rPh sb="2" eb="3">
      <t>ダイ</t>
    </rPh>
    <rPh sb="4" eb="5">
      <t>モン</t>
    </rPh>
    <rPh sb="9" eb="11">
      <t>モンダイ</t>
    </rPh>
    <phoneticPr fontId="2"/>
  </si>
  <si>
    <t xml:space="preserve">  機械設備</t>
    <rPh sb="2" eb="6">
      <t>キカイセツビ</t>
    </rPh>
    <phoneticPr fontId="2"/>
  </si>
  <si>
    <t xml:space="preserve">  リース資産</t>
    <rPh sb="5" eb="7">
      <t>シサン</t>
    </rPh>
    <phoneticPr fontId="2"/>
  </si>
  <si>
    <t xml:space="preserve">  土地</t>
    <rPh sb="2" eb="4">
      <t>トチ</t>
    </rPh>
    <phoneticPr fontId="2"/>
  </si>
  <si>
    <t xml:space="preserve">  その他</t>
    <rPh sb="4" eb="5">
      <t>タ</t>
    </rPh>
    <phoneticPr fontId="2"/>
  </si>
  <si>
    <t xml:space="preserve"> 投資その他の資産</t>
    <rPh sb="1" eb="3">
      <t>トウシ</t>
    </rPh>
    <rPh sb="5" eb="6">
      <t>タ</t>
    </rPh>
    <rPh sb="7" eb="9">
      <t>シサン</t>
    </rPh>
    <phoneticPr fontId="2"/>
  </si>
  <si>
    <t xml:space="preserve">  敷金及び保証金</t>
    <rPh sb="2" eb="4">
      <t>シキキン</t>
    </rPh>
    <rPh sb="4" eb="5">
      <t>オヨ</t>
    </rPh>
    <rPh sb="6" eb="9">
      <t>ホショウキン</t>
    </rPh>
    <phoneticPr fontId="2"/>
  </si>
  <si>
    <t xml:space="preserve">  その他</t>
    <rPh sb="4" eb="5">
      <t>タ</t>
    </rPh>
    <phoneticPr fontId="2"/>
  </si>
  <si>
    <t xml:space="preserve"> 社債</t>
    <rPh sb="1" eb="3">
      <t>シャサイ</t>
    </rPh>
    <phoneticPr fontId="2"/>
  </si>
  <si>
    <t xml:space="preserve"> リース債務</t>
    <rPh sb="4" eb="6">
      <t>サイム</t>
    </rPh>
    <phoneticPr fontId="2"/>
  </si>
  <si>
    <t xml:space="preserve"> 退職給付引当金</t>
    <rPh sb="1" eb="3">
      <t>タイショク</t>
    </rPh>
    <rPh sb="3" eb="5">
      <t>キュウフ</t>
    </rPh>
    <rPh sb="5" eb="8">
      <t>ヒキアテキン</t>
    </rPh>
    <phoneticPr fontId="2"/>
  </si>
  <si>
    <t>D社</t>
    <rPh sb="1" eb="2">
      <t>シャ</t>
    </rPh>
    <phoneticPr fontId="2"/>
  </si>
  <si>
    <t>同業他社</t>
    <rPh sb="0" eb="4">
      <t>ドウギョウタシャ</t>
    </rPh>
    <phoneticPr fontId="2"/>
  </si>
  <si>
    <t>×劣る</t>
    <rPh sb="1" eb="2">
      <t>オト</t>
    </rPh>
    <phoneticPr fontId="2"/>
  </si>
  <si>
    <t>○優る</t>
    <rPh sb="1" eb="2">
      <t>マサ</t>
    </rPh>
    <phoneticPr fontId="2"/>
  </si>
  <si>
    <t>(設問1)</t>
    <rPh sb="1" eb="3">
      <t>セツモン</t>
    </rPh>
    <phoneticPr fontId="2"/>
  </si>
  <si>
    <t>(設問２)</t>
    <rPh sb="1" eb="3">
      <t>セツモン</t>
    </rPh>
    <phoneticPr fontId="2"/>
  </si>
  <si>
    <t>記述は省略</t>
    <rPh sb="0" eb="2">
      <t>キジュツ</t>
    </rPh>
    <rPh sb="3" eb="5">
      <t>ショウリャク</t>
    </rPh>
    <phoneticPr fontId="2"/>
  </si>
  <si>
    <t>応用第2問 ケース問題</t>
    <rPh sb="0" eb="2">
      <t>オウヨウ</t>
    </rPh>
    <rPh sb="2" eb="3">
      <t>ダイ</t>
    </rPh>
    <rPh sb="4" eb="5">
      <t>モン</t>
    </rPh>
    <rPh sb="9" eb="11">
      <t>モンダイ</t>
    </rPh>
    <phoneticPr fontId="2"/>
  </si>
  <si>
    <t xml:space="preserve"> 一年内長借</t>
    <rPh sb="1" eb="4">
      <t>イチネンナイ</t>
    </rPh>
    <rPh sb="4" eb="5">
      <t>チョウ</t>
    </rPh>
    <rPh sb="5" eb="6">
      <t>シャク</t>
    </rPh>
    <phoneticPr fontId="2"/>
  </si>
  <si>
    <t xml:space="preserve"> その他</t>
    <rPh sb="3" eb="4">
      <t>タ</t>
    </rPh>
    <phoneticPr fontId="2"/>
  </si>
  <si>
    <t xml:space="preserve">  その他</t>
    <rPh sb="4" eb="5">
      <t>タ</t>
    </rPh>
    <phoneticPr fontId="2"/>
  </si>
  <si>
    <t>どちらでもOK</t>
    <phoneticPr fontId="2"/>
  </si>
  <si>
    <t>過去問R2 第1問</t>
    <rPh sb="0" eb="3">
      <t>カコモン</t>
    </rPh>
    <rPh sb="6" eb="7">
      <t>ダイ</t>
    </rPh>
    <rPh sb="8" eb="9">
      <t>モン</t>
    </rPh>
    <phoneticPr fontId="2"/>
  </si>
  <si>
    <t xml:space="preserve"> 売上債権</t>
    <rPh sb="1" eb="3">
      <t>ウリアゲ</t>
    </rPh>
    <rPh sb="3" eb="5">
      <t>サイケン</t>
    </rPh>
    <phoneticPr fontId="2"/>
  </si>
  <si>
    <t xml:space="preserve"> 販売用不動産</t>
    <rPh sb="1" eb="7">
      <t>ハンバイヨウフドウサン</t>
    </rPh>
    <phoneticPr fontId="2"/>
  </si>
  <si>
    <t xml:space="preserve">  建物･構築物</t>
    <rPh sb="2" eb="4">
      <t>タテモノ</t>
    </rPh>
    <rPh sb="5" eb="8">
      <t>コウチクブツ</t>
    </rPh>
    <phoneticPr fontId="2"/>
  </si>
  <si>
    <t xml:space="preserve">  機械及び装置</t>
    <rPh sb="2" eb="4">
      <t>キカイ</t>
    </rPh>
    <rPh sb="4" eb="5">
      <t>オヨ</t>
    </rPh>
    <rPh sb="6" eb="8">
      <t>ソウチ</t>
    </rPh>
    <phoneticPr fontId="2"/>
  </si>
  <si>
    <t xml:space="preserve">  土地</t>
    <rPh sb="2" eb="4">
      <t>トチ</t>
    </rPh>
    <phoneticPr fontId="2"/>
  </si>
  <si>
    <t xml:space="preserve"> 無形固定資産</t>
    <rPh sb="1" eb="3">
      <t>ムケイ</t>
    </rPh>
    <rPh sb="3" eb="7">
      <t>コテイシサン</t>
    </rPh>
    <phoneticPr fontId="2"/>
  </si>
  <si>
    <t xml:space="preserve"> 社債･長期借入金</t>
    <rPh sb="1" eb="3">
      <t>シャサイ</t>
    </rPh>
    <rPh sb="4" eb="6">
      <t>チョウキ</t>
    </rPh>
    <rPh sb="6" eb="8">
      <t>カリイレ</t>
    </rPh>
    <rPh sb="8" eb="9">
      <t>キン</t>
    </rPh>
    <phoneticPr fontId="2"/>
  </si>
  <si>
    <t>1 CVP分析</t>
    <rPh sb="5" eb="7">
      <t>ブンセキ</t>
    </rPh>
    <phoneticPr fontId="2"/>
  </si>
  <si>
    <t>第1問</t>
    <rPh sb="0" eb="1">
      <t>ダイ</t>
    </rPh>
    <rPh sb="2" eb="3">
      <t>モン</t>
    </rPh>
    <phoneticPr fontId="2"/>
  </si>
  <si>
    <t>数量・単価を示された時の直接ゲンケーの描き方をエクセルでマスター。</t>
    <rPh sb="0" eb="2">
      <t>スウリョウ</t>
    </rPh>
    <rPh sb="3" eb="5">
      <t>タンカ</t>
    </rPh>
    <rPh sb="6" eb="7">
      <t>シメ</t>
    </rPh>
    <rPh sb="10" eb="11">
      <t>トキ</t>
    </rPh>
    <rPh sb="12" eb="14">
      <t>チョクセツ</t>
    </rPh>
    <rPh sb="19" eb="20">
      <t>カ</t>
    </rPh>
    <rPh sb="21" eb="22">
      <t>カタ</t>
    </rPh>
    <phoneticPr fontId="2"/>
  </si>
  <si>
    <t>変動費</t>
    <rPh sb="0" eb="3">
      <t>ヘンドウヒ</t>
    </rPh>
    <phoneticPr fontId="2"/>
  </si>
  <si>
    <t>限界利益</t>
    <rPh sb="0" eb="2">
      <t>ゲンカイ</t>
    </rPh>
    <rPh sb="2" eb="4">
      <t>リエキ</t>
    </rPh>
    <phoneticPr fontId="2"/>
  </si>
  <si>
    <t>固定費</t>
    <rPh sb="0" eb="3">
      <t>コテイヒ</t>
    </rPh>
    <phoneticPr fontId="2"/>
  </si>
  <si>
    <t>営業利益</t>
    <rPh sb="0" eb="2">
      <t>エイギョウ</t>
    </rPh>
    <rPh sb="2" eb="4">
      <t>リエキ</t>
    </rPh>
    <phoneticPr fontId="2"/>
  </si>
  <si>
    <t>単価</t>
    <rPh sb="0" eb="2">
      <t>タンカ</t>
    </rPh>
    <phoneticPr fontId="2"/>
  </si>
  <si>
    <t>個数</t>
    <rPh sb="0" eb="2">
      <t>コスウ</t>
    </rPh>
    <phoneticPr fontId="2"/>
  </si>
  <si>
    <t>限界利益率</t>
    <rPh sb="0" eb="5">
      <t>ゲンカイリエキリツ</t>
    </rPh>
    <phoneticPr fontId="2"/>
  </si>
  <si>
    <t>損益分岐点</t>
    <rPh sb="0" eb="2">
      <t>ソンエキ</t>
    </rPh>
    <rPh sb="2" eb="5">
      <t>ブンキテン</t>
    </rPh>
    <phoneticPr fontId="2"/>
  </si>
  <si>
    <t>損益分岐点比率</t>
    <rPh sb="0" eb="2">
      <t>ソンエキ</t>
    </rPh>
    <rPh sb="2" eb="5">
      <t>ブンキテン</t>
    </rPh>
    <rPh sb="5" eb="7">
      <t>ヒリツ</t>
    </rPh>
    <phoneticPr fontId="2"/>
  </si>
  <si>
    <t>CVPは直接ゲンケーPLを描くと最も安定するためどんどんコピペする</t>
    <rPh sb="4" eb="6">
      <t>チョクセツ</t>
    </rPh>
    <rPh sb="13" eb="14">
      <t>カ</t>
    </rPh>
    <rPh sb="16" eb="17">
      <t>モット</t>
    </rPh>
    <rPh sb="18" eb="20">
      <t>アンテイ</t>
    </rPh>
    <phoneticPr fontId="2"/>
  </si>
  <si>
    <t>安全余裕率(SBEP率の反対)</t>
    <rPh sb="0" eb="2">
      <t>アンゼン</t>
    </rPh>
    <rPh sb="2" eb="5">
      <t>ヨユウリツ</t>
    </rPh>
    <rPh sb="10" eb="11">
      <t>リツ</t>
    </rPh>
    <rPh sb="12" eb="14">
      <t>ハンタイ</t>
    </rPh>
    <phoneticPr fontId="2"/>
  </si>
  <si>
    <t>第2問</t>
    <rPh sb="0" eb="1">
      <t>ダイ</t>
    </rPh>
    <rPh sb="2" eb="3">
      <t>モン</t>
    </rPh>
    <phoneticPr fontId="2"/>
  </si>
  <si>
    <t>第3問</t>
    <rPh sb="0" eb="1">
      <t>ダイ</t>
    </rPh>
    <rPh sb="2" eb="3">
      <t>モン</t>
    </rPh>
    <phoneticPr fontId="2"/>
  </si>
  <si>
    <t>目標利益は固定費に加減算する</t>
    <rPh sb="0" eb="2">
      <t>モクヒョウ</t>
    </rPh>
    <rPh sb="2" eb="4">
      <t>リエキ</t>
    </rPh>
    <rPh sb="5" eb="8">
      <t>コテイヒ</t>
    </rPh>
    <rPh sb="9" eb="12">
      <t>カゲンザン</t>
    </rPh>
    <phoneticPr fontId="2"/>
  </si>
  <si>
    <t xml:space="preserve"> 営業外収益</t>
    <rPh sb="1" eb="4">
      <t>エイギョウガイ</t>
    </rPh>
    <rPh sb="4" eb="6">
      <t>シュウエキ</t>
    </rPh>
    <phoneticPr fontId="2"/>
  </si>
  <si>
    <t xml:space="preserve"> 営業外費用</t>
    <rPh sb="1" eb="4">
      <t>エイギョウガイ</t>
    </rPh>
    <rPh sb="4" eb="6">
      <t>ヒヨウ</t>
    </rPh>
    <phoneticPr fontId="2"/>
  </si>
  <si>
    <t xml:space="preserve"> 変動営業費用</t>
    <rPh sb="1" eb="3">
      <t>ヘンドウ</t>
    </rPh>
    <rPh sb="3" eb="5">
      <t>エイギョウ</t>
    </rPh>
    <rPh sb="5" eb="7">
      <t>ヒヨウ</t>
    </rPh>
    <phoneticPr fontId="2"/>
  </si>
  <si>
    <t>←原価+販管費</t>
    <rPh sb="1" eb="3">
      <t>ゲンカ</t>
    </rPh>
    <rPh sb="4" eb="7">
      <t>ハンカンヒ</t>
    </rPh>
    <phoneticPr fontId="2"/>
  </si>
  <si>
    <t xml:space="preserve"> 固定営業費用</t>
    <rPh sb="1" eb="3">
      <t>コテイ</t>
    </rPh>
    <rPh sb="3" eb="7">
      <t>エイギョウヒヨウ</t>
    </rPh>
    <phoneticPr fontId="2"/>
  </si>
  <si>
    <t>目標</t>
    <rPh sb="0" eb="2">
      <t>モクヒョウ</t>
    </rPh>
    <phoneticPr fontId="2"/>
  </si>
  <si>
    <t>目標達成</t>
    <rPh sb="0" eb="2">
      <t>モクヒョウ</t>
    </rPh>
    <rPh sb="2" eb="4">
      <t>タッセイ</t>
    </rPh>
    <phoneticPr fontId="2"/>
  </si>
  <si>
    <t>修正後固定費</t>
    <rPh sb="0" eb="3">
      <t>シュウセイゴ</t>
    </rPh>
    <rPh sb="3" eb="6">
      <t>コテイヒ</t>
    </rPh>
    <phoneticPr fontId="2"/>
  </si>
  <si>
    <t>第4問</t>
    <rPh sb="0" eb="1">
      <t>ダイ</t>
    </rPh>
    <rPh sb="2" eb="3">
      <t>モン</t>
    </rPh>
    <phoneticPr fontId="2"/>
  </si>
  <si>
    <t>目標SBEP率</t>
    <rPh sb="0" eb="2">
      <t>モクヒョウ</t>
    </rPh>
    <rPh sb="6" eb="7">
      <t>リツ</t>
    </rPh>
    <phoneticPr fontId="2"/>
  </si>
  <si>
    <t>目標SBEP</t>
    <rPh sb="0" eb="2">
      <t>モクヒョウ</t>
    </rPh>
    <phoneticPr fontId="2"/>
  </si>
  <si>
    <t>限界利益</t>
    <rPh sb="0" eb="4">
      <t>ゲンカイリエキ</t>
    </rPh>
    <phoneticPr fontId="2"/>
  </si>
  <si>
    <t>固定費削減額</t>
    <rPh sb="0" eb="6">
      <t>コテイヒサクゲンガク</t>
    </rPh>
    <phoneticPr fontId="2"/>
  </si>
  <si>
    <t>万円</t>
    <rPh sb="0" eb="2">
      <t>マンエン</t>
    </rPh>
    <phoneticPr fontId="2"/>
  </si>
  <si>
    <t>額でなく率を目標で指示された時は方程式を用意。ただし当問は方程式を使わずそのまま解ける。</t>
    <rPh sb="0" eb="1">
      <t>ガク</t>
    </rPh>
    <rPh sb="4" eb="5">
      <t>リツ</t>
    </rPh>
    <rPh sb="6" eb="8">
      <t>モクヒョウ</t>
    </rPh>
    <rPh sb="9" eb="11">
      <t>シジ</t>
    </rPh>
    <rPh sb="14" eb="15">
      <t>トキ</t>
    </rPh>
    <rPh sb="16" eb="19">
      <t>ホウテイシキ</t>
    </rPh>
    <rPh sb="20" eb="22">
      <t>ヨウイ</t>
    </rPh>
    <rPh sb="26" eb="28">
      <t>トウモン</t>
    </rPh>
    <rPh sb="29" eb="32">
      <t>ホウテイシキ</t>
    </rPh>
    <rPh sb="33" eb="34">
      <t>ツカ</t>
    </rPh>
    <rPh sb="40" eb="41">
      <t>ト</t>
    </rPh>
    <phoneticPr fontId="2"/>
  </si>
  <si>
    <t>第5問</t>
    <rPh sb="0" eb="1">
      <t>ダイ</t>
    </rPh>
    <rPh sb="2" eb="3">
      <t>モン</t>
    </rPh>
    <phoneticPr fontId="2"/>
  </si>
  <si>
    <t>販売量10%増加</t>
    <rPh sb="0" eb="3">
      <t>ハンバイリョウ</t>
    </rPh>
    <rPh sb="6" eb="8">
      <t>ゾウカ</t>
    </rPh>
    <phoneticPr fontId="2"/>
  </si>
  <si>
    <t>感度分析～販売量や単価を変動させるケース</t>
    <rPh sb="0" eb="4">
      <t>カンドブンセキ</t>
    </rPh>
    <rPh sb="5" eb="8">
      <t>ハンバイリョウ</t>
    </rPh>
    <rPh sb="9" eb="11">
      <t>タンカ</t>
    </rPh>
    <rPh sb="12" eb="14">
      <t>ヘンドウ</t>
    </rPh>
    <phoneticPr fontId="2"/>
  </si>
  <si>
    <t>販売価格10%UP</t>
    <rPh sb="0" eb="2">
      <t>ハンバイ</t>
    </rPh>
    <rPh sb="2" eb="4">
      <t>カカク</t>
    </rPh>
    <phoneticPr fontId="2"/>
  </si>
  <si>
    <t>第6問</t>
    <rPh sb="0" eb="1">
      <t>ダイ</t>
    </rPh>
    <rPh sb="2" eb="3">
      <t>モン</t>
    </rPh>
    <phoneticPr fontId="2"/>
  </si>
  <si>
    <t>(設問1)</t>
    <rPh sb="1" eb="3">
      <t>セツモン</t>
    </rPh>
    <phoneticPr fontId="2"/>
  </si>
  <si>
    <t>(設問2)</t>
    <rPh sb="1" eb="3">
      <t>セツモン</t>
    </rPh>
    <phoneticPr fontId="2"/>
  </si>
  <si>
    <t>目標営業利益</t>
    <rPh sb="0" eb="2">
      <t>モクヒョウ</t>
    </rPh>
    <rPh sb="2" eb="4">
      <t>エイギョウ</t>
    </rPh>
    <rPh sb="4" eb="6">
      <t>リエキ</t>
    </rPh>
    <phoneticPr fontId="2"/>
  </si>
  <si>
    <t>↑目標利益を固定費に加算し、公式(限界利益率で割る)を使う</t>
    <rPh sb="1" eb="3">
      <t>モクヒョウ</t>
    </rPh>
    <rPh sb="3" eb="5">
      <t>リエキ</t>
    </rPh>
    <rPh sb="6" eb="9">
      <t>コテイヒ</t>
    </rPh>
    <rPh sb="10" eb="12">
      <t>カサン</t>
    </rPh>
    <rPh sb="14" eb="16">
      <t>コウシキ</t>
    </rPh>
    <rPh sb="17" eb="19">
      <t>ゲンカイ</t>
    </rPh>
    <rPh sb="19" eb="22">
      <t>リエキリツ</t>
    </rPh>
    <rPh sb="23" eb="24">
      <t>ワ</t>
    </rPh>
    <rPh sb="27" eb="28">
      <t>ツカ</t>
    </rPh>
    <phoneticPr fontId="2"/>
  </si>
  <si>
    <t>個数</t>
    <rPh sb="0" eb="2">
      <t>コスウ</t>
    </rPh>
    <phoneticPr fontId="2"/>
  </si>
  <si>
    <t>↓個数・単価を置き換えて計算するだけ</t>
    <rPh sb="1" eb="3">
      <t>コスウ</t>
    </rPh>
    <rPh sb="4" eb="6">
      <t>タンカ</t>
    </rPh>
    <rPh sb="7" eb="8">
      <t>オ</t>
    </rPh>
    <rPh sb="9" eb="10">
      <t>カ</t>
    </rPh>
    <rPh sb="12" eb="14">
      <t>ケイサン</t>
    </rPh>
    <phoneticPr fontId="2"/>
  </si>
  <si>
    <t>第7問</t>
    <rPh sb="0" eb="1">
      <t>ダイ</t>
    </rPh>
    <rPh sb="2" eb="3">
      <t>モン</t>
    </rPh>
    <phoneticPr fontId="2"/>
  </si>
  <si>
    <t>(設問1) ややイレギュラーな形で、y=ax+bの固変分解をさせる</t>
    <rPh sb="1" eb="3">
      <t>セツモン</t>
    </rPh>
    <rPh sb="15" eb="16">
      <t>カタチ</t>
    </rPh>
    <rPh sb="25" eb="26">
      <t>コ</t>
    </rPh>
    <rPh sb="26" eb="27">
      <t>ヘン</t>
    </rPh>
    <rPh sb="27" eb="29">
      <t>ブンカイ</t>
    </rPh>
    <phoneticPr fontId="2"/>
  </si>
  <si>
    <t>X2</t>
    <phoneticPr fontId="2"/>
  </si>
  <si>
    <t>X1</t>
    <phoneticPr fontId="2"/>
  </si>
  <si>
    <t>売上高</t>
    <rPh sb="0" eb="3">
      <t>ウリアゲダカ</t>
    </rPh>
    <phoneticPr fontId="2"/>
  </si>
  <si>
    <t>変動額</t>
    <rPh sb="0" eb="3">
      <t>ヘンドウガク</t>
    </rPh>
    <phoneticPr fontId="2"/>
  </si>
  <si>
    <t>営業利益</t>
    <rPh sb="0" eb="4">
      <t>エイギョウリエキ</t>
    </rPh>
    <phoneticPr fontId="2"/>
  </si>
  <si>
    <t>限界利益率</t>
    <rPh sb="0" eb="2">
      <t>ゲンカイ</t>
    </rPh>
    <rPh sb="2" eb="5">
      <t>リエキリツ</t>
    </rPh>
    <phoneticPr fontId="2"/>
  </si>
  <si>
    <t>固定費</t>
    <rPh sb="0" eb="3">
      <t>コテイヒ</t>
    </rPh>
    <phoneticPr fontId="2"/>
  </si>
  <si>
    <t>検算</t>
    <rPh sb="0" eb="2">
      <t>ケンザン</t>
    </rPh>
    <phoneticPr fontId="2"/>
  </si>
  <si>
    <t>変動費率</t>
    <rPh sb="0" eb="2">
      <t>ヘンドウ</t>
    </rPh>
    <rPh sb="2" eb="3">
      <t>ヒ</t>
    </rPh>
    <rPh sb="3" eb="4">
      <t>リツ</t>
    </rPh>
    <phoneticPr fontId="2"/>
  </si>
  <si>
    <t>↑売上高△40→営業利益(ここでは限界利益の増減と同額)△16なので、限界利益率40%とわかる。</t>
    <rPh sb="1" eb="4">
      <t>ウリアゲダカ</t>
    </rPh>
    <rPh sb="8" eb="12">
      <t>エイギョウリエキ</t>
    </rPh>
    <rPh sb="17" eb="19">
      <t>ゲンカイ</t>
    </rPh>
    <rPh sb="19" eb="21">
      <t>リエキ</t>
    </rPh>
    <rPh sb="22" eb="24">
      <t>ゾウゲン</t>
    </rPh>
    <rPh sb="25" eb="27">
      <t>ドウガク</t>
    </rPh>
    <rPh sb="35" eb="40">
      <t>ゲンカイリエキリツ</t>
    </rPh>
    <phoneticPr fontId="2"/>
  </si>
  <si>
    <t>固定費削減額</t>
    <rPh sb="0" eb="3">
      <t>コテイヒ</t>
    </rPh>
    <rPh sb="3" eb="5">
      <t>サクゲン</t>
    </rPh>
    <rPh sb="5" eb="6">
      <t>ガク</t>
    </rPh>
    <phoneticPr fontId="2"/>
  </si>
  <si>
    <t>SBEP</t>
    <phoneticPr fontId="2"/>
  </si>
  <si>
    <t>【応用問題】</t>
    <rPh sb="1" eb="5">
      <t>オウヨウモンダイ</t>
    </rPh>
    <phoneticPr fontId="2"/>
  </si>
  <si>
    <t>第1問</t>
    <rPh sb="0" eb="1">
      <t>ダイ</t>
    </rPh>
    <rPh sb="2" eb="3">
      <t>モン</t>
    </rPh>
    <phoneticPr fontId="2"/>
  </si>
  <si>
    <t>最初にPL段階利益を描き、固定費と限界利益率を求める</t>
    <rPh sb="0" eb="2">
      <t>サイショ</t>
    </rPh>
    <rPh sb="5" eb="7">
      <t>ダンカイ</t>
    </rPh>
    <rPh sb="7" eb="9">
      <t>リエキ</t>
    </rPh>
    <rPh sb="10" eb="11">
      <t>エガ</t>
    </rPh>
    <rPh sb="13" eb="16">
      <t>コテイヒ</t>
    </rPh>
    <rPh sb="17" eb="22">
      <t>ゲンカイリエキリツ</t>
    </rPh>
    <rPh sb="23" eb="24">
      <t>モト</t>
    </rPh>
    <phoneticPr fontId="2"/>
  </si>
  <si>
    <t>全部原価計算</t>
    <rPh sb="0" eb="2">
      <t>ゼンブ</t>
    </rPh>
    <rPh sb="2" eb="6">
      <t>ゲンカケイサン</t>
    </rPh>
    <phoneticPr fontId="2"/>
  </si>
  <si>
    <t xml:space="preserve"> 売上原価</t>
    <rPh sb="1" eb="5">
      <t>ウリアゲゲンカ</t>
    </rPh>
    <phoneticPr fontId="2"/>
  </si>
  <si>
    <t>売上総利益</t>
    <rPh sb="0" eb="5">
      <t>ウリアゲソウリエキ</t>
    </rPh>
    <phoneticPr fontId="2"/>
  </si>
  <si>
    <t xml:space="preserve"> 販管費</t>
    <rPh sb="1" eb="4">
      <t>ハンカンヒ</t>
    </rPh>
    <phoneticPr fontId="2"/>
  </si>
  <si>
    <t xml:space="preserve"> 営業外収益</t>
    <rPh sb="1" eb="4">
      <t>エイギョウガイ</t>
    </rPh>
    <rPh sb="4" eb="6">
      <t>シュウエキ</t>
    </rPh>
    <phoneticPr fontId="2"/>
  </si>
  <si>
    <t xml:space="preserve"> 営業外費用</t>
    <rPh sb="1" eb="4">
      <t>エイギョウガイ</t>
    </rPh>
    <rPh sb="4" eb="6">
      <t>ヒヨウ</t>
    </rPh>
    <phoneticPr fontId="2"/>
  </si>
  <si>
    <t>経常利益</t>
    <rPh sb="0" eb="2">
      <t>ケイツネ</t>
    </rPh>
    <rPh sb="2" eb="4">
      <t>リエキ</t>
    </rPh>
    <phoneticPr fontId="2"/>
  </si>
  <si>
    <t xml:space="preserve"> 法人税等</t>
    <rPh sb="1" eb="5">
      <t>ホウジンゼイトウ</t>
    </rPh>
    <phoneticPr fontId="2"/>
  </si>
  <si>
    <t>当期純利益</t>
    <rPh sb="0" eb="2">
      <t>トウキ</t>
    </rPh>
    <rPh sb="2" eb="5">
      <t>ジュンリエキ</t>
    </rPh>
    <phoneticPr fontId="2"/>
  </si>
  <si>
    <t>直接ゲンケー</t>
    <rPh sb="0" eb="2">
      <t>チョクセツ</t>
    </rPh>
    <phoneticPr fontId="2"/>
  </si>
  <si>
    <t xml:space="preserve"> 変動売上原価</t>
    <rPh sb="1" eb="3">
      <t>ヘンドウ</t>
    </rPh>
    <rPh sb="3" eb="5">
      <t>ウリアゲ</t>
    </rPh>
    <rPh sb="5" eb="7">
      <t>ゲンカ</t>
    </rPh>
    <phoneticPr fontId="2"/>
  </si>
  <si>
    <t xml:space="preserve"> 変動販管費</t>
    <rPh sb="1" eb="3">
      <t>ヘンドウ</t>
    </rPh>
    <rPh sb="3" eb="6">
      <t>ハンカンヒ</t>
    </rPh>
    <phoneticPr fontId="2"/>
  </si>
  <si>
    <t>限界利益</t>
    <rPh sb="0" eb="2">
      <t>ゲンカイ</t>
    </rPh>
    <rPh sb="2" eb="4">
      <t>リエキ</t>
    </rPh>
    <phoneticPr fontId="2"/>
  </si>
  <si>
    <t xml:space="preserve"> 固定売上原価</t>
    <rPh sb="1" eb="3">
      <t>コテイ</t>
    </rPh>
    <rPh sb="3" eb="5">
      <t>ウリアゲ</t>
    </rPh>
    <rPh sb="5" eb="7">
      <t>ゲンカ</t>
    </rPh>
    <phoneticPr fontId="2"/>
  </si>
  <si>
    <t xml:space="preserve"> 固定販売費</t>
    <rPh sb="1" eb="6">
      <t>コテイハンバイヒ</t>
    </rPh>
    <phoneticPr fontId="2"/>
  </si>
  <si>
    <t>営業利益</t>
    <rPh sb="0" eb="2">
      <t>エイギョウ</t>
    </rPh>
    <rPh sb="2" eb="4">
      <t>リエキ</t>
    </rPh>
    <phoneticPr fontId="2"/>
  </si>
  <si>
    <t>合計</t>
    <rPh sb="0" eb="2">
      <t>ゴウケイ</t>
    </rPh>
    <phoneticPr fontId="2"/>
  </si>
  <si>
    <t>限界利益率</t>
    <rPh sb="0" eb="5">
      <t>ゲンカイリエキリツ</t>
    </rPh>
    <phoneticPr fontId="2"/>
  </si>
  <si>
    <t>損益分岐点比率</t>
    <rPh sb="0" eb="2">
      <t>ソンエキ</t>
    </rPh>
    <rPh sb="2" eb="5">
      <t>ブンキテン</t>
    </rPh>
    <rPh sb="5" eb="7">
      <t>ヒリツ</t>
    </rPh>
    <phoneticPr fontId="2"/>
  </si>
  <si>
    <t>(設問2)複数条件を与える感度分析→予想営業利益の作成</t>
    <rPh sb="1" eb="3">
      <t>セツモン</t>
    </rPh>
    <rPh sb="5" eb="7">
      <t>フクスウ</t>
    </rPh>
    <rPh sb="7" eb="9">
      <t>ジョウケン</t>
    </rPh>
    <rPh sb="10" eb="11">
      <t>アタ</t>
    </rPh>
    <rPh sb="13" eb="15">
      <t>カンド</t>
    </rPh>
    <rPh sb="15" eb="17">
      <t>ブンセキ</t>
    </rPh>
    <rPh sb="18" eb="20">
      <t>ヨソウ</t>
    </rPh>
    <rPh sb="20" eb="22">
      <t>エイギョウ</t>
    </rPh>
    <rPh sb="22" eb="24">
      <t>リエキ</t>
    </rPh>
    <rPh sb="25" eb="27">
      <t>サクセイ</t>
    </rPh>
    <phoneticPr fontId="2"/>
  </si>
  <si>
    <t>販売単価</t>
    <rPh sb="0" eb="2">
      <t>ハンバイ</t>
    </rPh>
    <rPh sb="2" eb="4">
      <t>タンカ</t>
    </rPh>
    <phoneticPr fontId="2"/>
  </si>
  <si>
    <t>販売数量</t>
    <rPh sb="0" eb="2">
      <t>ハンバイ</t>
    </rPh>
    <rPh sb="2" eb="4">
      <t>スウリョウ</t>
    </rPh>
    <phoneticPr fontId="2"/>
  </si>
  <si>
    <t>前年比</t>
    <rPh sb="0" eb="3">
      <t>ゼンネンヒ</t>
    </rPh>
    <phoneticPr fontId="2"/>
  </si>
  <si>
    <t>X製品×0.6</t>
    <rPh sb="1" eb="3">
      <t>セイヒン</t>
    </rPh>
    <phoneticPr fontId="2"/>
  </si>
  <si>
    <t>当年度</t>
    <rPh sb="0" eb="3">
      <t>トウネンド</t>
    </rPh>
    <phoneticPr fontId="2"/>
  </si>
  <si>
    <t>翌期</t>
    <rPh sb="0" eb="2">
      <t>ヨクキ</t>
    </rPh>
    <phoneticPr fontId="2"/>
  </si>
  <si>
    <t>第2問</t>
    <rPh sb="0" eb="1">
      <t>ダイ</t>
    </rPh>
    <rPh sb="2" eb="3">
      <t>モン</t>
    </rPh>
    <phoneticPr fontId="2"/>
  </si>
  <si>
    <t>?</t>
    <phoneticPr fontId="2"/>
  </si>
  <si>
    <t>虫食い算の推定問題。解き方はセルの関数式を参照</t>
    <rPh sb="0" eb="2">
      <t>ムシク</t>
    </rPh>
    <rPh sb="3" eb="4">
      <t>ザン</t>
    </rPh>
    <rPh sb="5" eb="7">
      <t>スイテイ</t>
    </rPh>
    <rPh sb="7" eb="9">
      <t>モンダイ</t>
    </rPh>
    <rPh sb="10" eb="11">
      <t>ト</t>
    </rPh>
    <rPh sb="12" eb="13">
      <t>カタ</t>
    </rPh>
    <rPh sb="17" eb="20">
      <t>カンスウシキ</t>
    </rPh>
    <rPh sb="21" eb="23">
      <t>サンショウ</t>
    </rPh>
    <phoneticPr fontId="2"/>
  </si>
  <si>
    <t>営業外損益</t>
    <rPh sb="0" eb="3">
      <t>エイギョウガイ</t>
    </rPh>
    <rPh sb="3" eb="5">
      <t>ソンエキ</t>
    </rPh>
    <phoneticPr fontId="2"/>
  </si>
  <si>
    <t>固定費再計</t>
    <rPh sb="0" eb="5">
      <t>コテイヒサイケイ</t>
    </rPh>
    <phoneticPr fontId="2"/>
  </si>
  <si>
    <t>←当問の｢固定費｣には営業外損益の40も含めている。</t>
    <rPh sb="1" eb="3">
      <t>トウモン</t>
    </rPh>
    <rPh sb="5" eb="8">
      <t>コテイヒ</t>
    </rPh>
    <rPh sb="11" eb="14">
      <t>エイギョウガイ</t>
    </rPh>
    <rPh sb="14" eb="16">
      <t>ソンエキ</t>
    </rPh>
    <rPh sb="20" eb="21">
      <t>フク</t>
    </rPh>
    <phoneticPr fontId="2"/>
  </si>
  <si>
    <t>(設問2) 感度分析</t>
    <rPh sb="1" eb="3">
      <t>セツモン</t>
    </rPh>
    <rPh sb="6" eb="8">
      <t>カンド</t>
    </rPh>
    <rPh sb="8" eb="10">
      <t>ブンセキ</t>
    </rPh>
    <phoneticPr fontId="2"/>
  </si>
  <si>
    <t>×1.1倍</t>
    <rPh sb="4" eb="5">
      <t>バイ</t>
    </rPh>
    <phoneticPr fontId="2"/>
  </si>
  <si>
    <t>2ポイントUP</t>
    <phoneticPr fontId="2"/>
  </si>
  <si>
    <t>40増加</t>
    <rPh sb="2" eb="4">
      <t>ゾウカ</t>
    </rPh>
    <phoneticPr fontId="2"/>
  </si>
  <si>
    <t>SBEP率</t>
    <rPh sb="4" eb="5">
      <t>リツ</t>
    </rPh>
    <phoneticPr fontId="2"/>
  </si>
  <si>
    <t>多品種小ロット化への対応により損益分岐点売上高比率が97→87%に下がり、安全余裕率が向上する。</t>
    <rPh sb="0" eb="3">
      <t>タヒンシュ</t>
    </rPh>
    <rPh sb="3" eb="4">
      <t>ショウ</t>
    </rPh>
    <rPh sb="7" eb="8">
      <t>カ</t>
    </rPh>
    <rPh sb="10" eb="12">
      <t>タイオウ</t>
    </rPh>
    <rPh sb="15" eb="20">
      <t>ソンエキブンキテン</t>
    </rPh>
    <rPh sb="20" eb="23">
      <t>ウリアゲダカ</t>
    </rPh>
    <rPh sb="23" eb="25">
      <t>ヒリツ</t>
    </rPh>
    <rPh sb="33" eb="34">
      <t>サ</t>
    </rPh>
    <rPh sb="37" eb="39">
      <t>アンゼン</t>
    </rPh>
    <rPh sb="39" eb="41">
      <t>ヨユウ</t>
    </rPh>
    <rPh sb="41" eb="42">
      <t>リツ</t>
    </rPh>
    <rPh sb="43" eb="45">
      <t>コウジョウ</t>
    </rPh>
    <phoneticPr fontId="2"/>
  </si>
  <si>
    <t>過去問 R3年第3問 お魚CVP</t>
    <rPh sb="0" eb="3">
      <t>カコモン</t>
    </rPh>
    <rPh sb="6" eb="7">
      <t>ネン</t>
    </rPh>
    <rPh sb="7" eb="8">
      <t>ダイ</t>
    </rPh>
    <rPh sb="9" eb="10">
      <t>モン</t>
    </rPh>
    <rPh sb="12" eb="13">
      <t>サカナ</t>
    </rPh>
    <phoneticPr fontId="2"/>
  </si>
  <si>
    <t>目標利益を達成する年間販売数量X</t>
    <rPh sb="0" eb="2">
      <t>モクヒョウ</t>
    </rPh>
    <rPh sb="2" eb="4">
      <t>リエキ</t>
    </rPh>
    <rPh sb="5" eb="7">
      <t>タッセイ</t>
    </rPh>
    <rPh sb="9" eb="11">
      <t>ネンカン</t>
    </rPh>
    <rPh sb="11" eb="13">
      <t>ハンバイ</t>
    </rPh>
    <rPh sb="13" eb="15">
      <t>スウリョウ</t>
    </rPh>
    <phoneticPr fontId="2"/>
  </si>
  <si>
    <t>①50,000kg生産時の直接原価計算PLを作り、変動費＆限界利益単価を算定</t>
    <rPh sb="9" eb="11">
      <t>セイサン</t>
    </rPh>
    <rPh sb="11" eb="12">
      <t>ジ</t>
    </rPh>
    <rPh sb="13" eb="15">
      <t>チョクセツ</t>
    </rPh>
    <rPh sb="15" eb="19">
      <t>ゲンカケイサン</t>
    </rPh>
    <rPh sb="22" eb="23">
      <t>ツク</t>
    </rPh>
    <rPh sb="25" eb="28">
      <t>ヘンドウヒ</t>
    </rPh>
    <rPh sb="29" eb="33">
      <t>ゲンカイリエキ</t>
    </rPh>
    <rPh sb="33" eb="35">
      <t>タンカ</t>
    </rPh>
    <rPh sb="36" eb="38">
      <t>サンテイ</t>
    </rPh>
    <phoneticPr fontId="2"/>
  </si>
  <si>
    <t>②目標利益調整後の固定費</t>
    <rPh sb="1" eb="3">
      <t>モクヒョウ</t>
    </rPh>
    <rPh sb="3" eb="5">
      <t>リエキ</t>
    </rPh>
    <rPh sb="5" eb="8">
      <t>チョウセイゴ</t>
    </rPh>
    <rPh sb="9" eb="12">
      <t>コテイヒ</t>
    </rPh>
    <phoneticPr fontId="2"/>
  </si>
  <si>
    <r>
      <t xml:space="preserve">③ </t>
    </r>
    <r>
      <rPr>
        <sz val="10"/>
        <color theme="1"/>
        <rFont val="游ゴシック"/>
        <family val="3"/>
        <charset val="128"/>
      </rPr>
      <t>②を達成する年間販売数量</t>
    </r>
    <rPh sb="4" eb="6">
      <t>タッセイ</t>
    </rPh>
    <rPh sb="8" eb="10">
      <t>ネンカン</t>
    </rPh>
    <rPh sb="10" eb="12">
      <t>ハンバイ</t>
    </rPh>
    <rPh sb="12" eb="14">
      <t>スウリョウ</t>
    </rPh>
    <phoneticPr fontId="2"/>
  </si>
  <si>
    <t>生産量kg</t>
    <rPh sb="0" eb="3">
      <t>セイサンリョウ</t>
    </rPh>
    <phoneticPr fontId="2"/>
  </si>
  <si>
    <t>単価 円/kg</t>
    <rPh sb="0" eb="2">
      <t>タンカ</t>
    </rPh>
    <rPh sb="3" eb="4">
      <t>エン</t>
    </rPh>
    <phoneticPr fontId="2"/>
  </si>
  <si>
    <t>変動費VC</t>
    <rPh sb="0" eb="3">
      <t>ヘンドウヒ</t>
    </rPh>
    <phoneticPr fontId="2"/>
  </si>
  <si>
    <t>※限界利益単価</t>
    <rPh sb="1" eb="3">
      <t>ゲンカイ</t>
    </rPh>
    <rPh sb="3" eb="5">
      <t>リエキ</t>
    </rPh>
    <rPh sb="5" eb="7">
      <t>タンカ</t>
    </rPh>
    <phoneticPr fontId="2"/>
  </si>
  <si>
    <t>固定費FC</t>
    <rPh sb="0" eb="3">
      <t>コテイヒ</t>
    </rPh>
    <phoneticPr fontId="2"/>
  </si>
  <si>
    <t>kg</t>
    <phoneticPr fontId="2"/>
  </si>
  <si>
    <t>+(加算)目標営業利益</t>
    <rPh sb="2" eb="4">
      <t>カサン</t>
    </rPh>
    <rPh sb="5" eb="9">
      <t>モクヒョウエイギョウ</t>
    </rPh>
    <rPh sb="9" eb="11">
      <t>リエキ</t>
    </rPh>
    <phoneticPr fontId="2"/>
  </si>
  <si>
    <t>(設問2)</t>
    <rPh sb="1" eb="3">
      <t>セツモン</t>
    </rPh>
    <phoneticPr fontId="2"/>
  </si>
  <si>
    <t>変動予算におけるSBEP損益分岐販売数量の算定</t>
    <rPh sb="0" eb="2">
      <t>ヘンドウ</t>
    </rPh>
    <rPh sb="2" eb="4">
      <t>ヨサン</t>
    </rPh>
    <rPh sb="12" eb="14">
      <t>ソンエキ</t>
    </rPh>
    <rPh sb="14" eb="16">
      <t>ブンキ</t>
    </rPh>
    <rPh sb="16" eb="18">
      <t>ハンバイ</t>
    </rPh>
    <rPh sb="18" eb="20">
      <t>スウリョウ</t>
    </rPh>
    <rPh sb="21" eb="23">
      <t>サンテイ</t>
    </rPh>
    <phoneticPr fontId="2"/>
  </si>
  <si>
    <t>【計算過程】</t>
    <rPh sb="1" eb="3">
      <t>ケイサン</t>
    </rPh>
    <rPh sb="3" eb="5">
      <t>カテイ</t>
    </rPh>
    <phoneticPr fontId="2"/>
  </si>
  <si>
    <t>①販売単価が変動するため、30,000kg、40,000kg販売時の営業利益を求め、</t>
    <rPh sb="1" eb="3">
      <t>ハンバイ</t>
    </rPh>
    <rPh sb="3" eb="5">
      <t>タンカ</t>
    </rPh>
    <rPh sb="6" eb="8">
      <t>ヘンドウ</t>
    </rPh>
    <rPh sb="30" eb="33">
      <t>ハンバイジ</t>
    </rPh>
    <rPh sb="34" eb="36">
      <t>エイギョウ</t>
    </rPh>
    <rPh sb="36" eb="38">
      <t>リエキ</t>
    </rPh>
    <rPh sb="39" eb="40">
      <t>モト</t>
    </rPh>
    <phoneticPr fontId="2"/>
  </si>
  <si>
    <t>目指す年間販売数量が30,000以上～40,000未満で、単価1,060円になることを決める。</t>
    <rPh sb="0" eb="2">
      <t>メザ</t>
    </rPh>
    <rPh sb="3" eb="5">
      <t>ネンカン</t>
    </rPh>
    <rPh sb="5" eb="7">
      <t>ハンバイ</t>
    </rPh>
    <rPh sb="7" eb="9">
      <t>スウリョウ</t>
    </rPh>
    <rPh sb="16" eb="18">
      <t>イジョウ</t>
    </rPh>
    <rPh sb="25" eb="27">
      <t>ミマン</t>
    </rPh>
    <rPh sb="29" eb="31">
      <t>タンカ</t>
    </rPh>
    <rPh sb="36" eb="37">
      <t>エン</t>
    </rPh>
    <rPh sb="43" eb="44">
      <t>キ</t>
    </rPh>
    <phoneticPr fontId="2"/>
  </si>
  <si>
    <t>販売数量</t>
    <rPh sb="0" eb="2">
      <t>ハンバイ</t>
    </rPh>
    <rPh sb="2" eb="4">
      <t>スウリョウ</t>
    </rPh>
    <phoneticPr fontId="2"/>
  </si>
  <si>
    <t>販売単価</t>
    <rPh sb="0" eb="2">
      <t>ハンバイ</t>
    </rPh>
    <rPh sb="2" eb="4">
      <t>タンカ</t>
    </rPh>
    <phoneticPr fontId="2"/>
  </si>
  <si>
    <t>←この関係から、目指す販売量はこの間→</t>
    <rPh sb="3" eb="5">
      <t>カンケイ</t>
    </rPh>
    <rPh sb="8" eb="10">
      <t>メザ</t>
    </rPh>
    <rPh sb="11" eb="13">
      <t>ハンバイ</t>
    </rPh>
    <rPh sb="13" eb="14">
      <t>リョウ</t>
    </rPh>
    <rPh sb="17" eb="18">
      <t>アイダ</t>
    </rPh>
    <phoneticPr fontId="2"/>
  </si>
  <si>
    <t>※以前に作成した事例Ⅳエクセルからコピペ</t>
    <rPh sb="1" eb="3">
      <t>イゼン</t>
    </rPh>
    <rPh sb="4" eb="6">
      <t>サクセイ</t>
    </rPh>
    <rPh sb="8" eb="10">
      <t>ジレイ</t>
    </rPh>
    <phoneticPr fontId="2"/>
  </si>
  <si>
    <t>3 CF計算書</t>
    <rPh sb="4" eb="7">
      <t>ケイサンショ</t>
    </rPh>
    <phoneticPr fontId="2"/>
  </si>
  <si>
    <t>5年に1回しか出題しない上、H23では極端に点差、H28は超イージーと難易度の差まで開いて、得意⇔不得意の差がつきやすいキャッシュフロー計算書</t>
    <rPh sb="1" eb="2">
      <t>ネン</t>
    </rPh>
    <rPh sb="4" eb="5">
      <t>カイ</t>
    </rPh>
    <rPh sb="7" eb="9">
      <t>シュツダイ</t>
    </rPh>
    <rPh sb="12" eb="13">
      <t>ウエ</t>
    </rPh>
    <rPh sb="19" eb="21">
      <t>キョクタン</t>
    </rPh>
    <rPh sb="22" eb="24">
      <t>テンサ</t>
    </rPh>
    <rPh sb="29" eb="30">
      <t>チョウ</t>
    </rPh>
    <rPh sb="35" eb="38">
      <t>ナンイド</t>
    </rPh>
    <rPh sb="39" eb="40">
      <t>サ</t>
    </rPh>
    <rPh sb="42" eb="43">
      <t>ヒラ</t>
    </rPh>
    <rPh sb="46" eb="48">
      <t>トクイ</t>
    </rPh>
    <rPh sb="49" eb="52">
      <t>フトクイ</t>
    </rPh>
    <rPh sb="53" eb="54">
      <t>サ</t>
    </rPh>
    <rPh sb="68" eb="71">
      <t>ケイサンショ</t>
    </rPh>
    <phoneticPr fontId="2"/>
  </si>
  <si>
    <t>TAC事例Ⅳの解き方が教えてくれるのは・・？</t>
    <rPh sb="3" eb="5">
      <t>ジレイ</t>
    </rPh>
    <rPh sb="7" eb="8">
      <t>ト</t>
    </rPh>
    <rPh sb="9" eb="10">
      <t>カタ</t>
    </rPh>
    <rPh sb="11" eb="12">
      <t>オシ</t>
    </rPh>
    <phoneticPr fontId="2"/>
  </si>
  <si>
    <t>営業CFの増加要因</t>
    <rPh sb="0" eb="2">
      <t>エイギョウ</t>
    </rPh>
    <rPh sb="5" eb="7">
      <t>ゾウカ</t>
    </rPh>
    <rPh sb="7" eb="9">
      <t>ヨウイン</t>
    </rPh>
    <phoneticPr fontId="2"/>
  </si>
  <si>
    <t>売上債権の増加</t>
    <rPh sb="0" eb="4">
      <t>ウリアゲサイケン</t>
    </rPh>
    <rPh sb="5" eb="7">
      <t>ゾウカ</t>
    </rPh>
    <phoneticPr fontId="2"/>
  </si>
  <si>
    <t>×</t>
    <phoneticPr fontId="2"/>
  </si>
  <si>
    <t>減少要因</t>
    <rPh sb="0" eb="2">
      <t>ゲンショウ</t>
    </rPh>
    <rPh sb="2" eb="4">
      <t>ヨウイン</t>
    </rPh>
    <phoneticPr fontId="2"/>
  </si>
  <si>
    <t>コメント</t>
    <phoneticPr fontId="2"/>
  </si>
  <si>
    <t>棚卸資産の減少</t>
    <rPh sb="0" eb="4">
      <t>タナオロシシサン</t>
    </rPh>
    <rPh sb="5" eb="7">
      <t>ゲンショウ</t>
    </rPh>
    <phoneticPr fontId="2"/>
  </si>
  <si>
    <t>仕入債務の増加</t>
    <rPh sb="0" eb="2">
      <t>シイレ</t>
    </rPh>
    <rPh sb="2" eb="4">
      <t>サイム</t>
    </rPh>
    <rPh sb="5" eb="7">
      <t>ゾウカ</t>
    </rPh>
    <phoneticPr fontId="2"/>
  </si>
  <si>
    <t>前払費用の減少</t>
    <rPh sb="0" eb="2">
      <t>マエバライ</t>
    </rPh>
    <rPh sb="2" eb="4">
      <t>ヒヨウ</t>
    </rPh>
    <rPh sb="5" eb="7">
      <t>ゲンショウ</t>
    </rPh>
    <phoneticPr fontId="2"/>
  </si>
  <si>
    <t>有形固定資産売却益</t>
    <rPh sb="0" eb="2">
      <t>ユウケイ</t>
    </rPh>
    <rPh sb="2" eb="6">
      <t>コテイシサン</t>
    </rPh>
    <rPh sb="6" eb="9">
      <t>バイキャクエキ</t>
    </rPh>
    <phoneticPr fontId="2"/>
  </si>
  <si>
    <t>有形固定資産の売却による収入</t>
    <rPh sb="0" eb="2">
      <t>ユウケイ</t>
    </rPh>
    <rPh sb="2" eb="6">
      <t>コテイシサン</t>
    </rPh>
    <rPh sb="7" eb="9">
      <t>バイキャク</t>
    </rPh>
    <rPh sb="12" eb="14">
      <t>シュウニュウ</t>
    </rPh>
    <phoneticPr fontId="2"/>
  </si>
  <si>
    <t>キャッシュインとは無関係</t>
    <rPh sb="9" eb="12">
      <t>ムカンケイ</t>
    </rPh>
    <phoneticPr fontId="2"/>
  </si>
  <si>
    <t>投資CFに含める</t>
    <rPh sb="0" eb="2">
      <t>トウシ</t>
    </rPh>
    <rPh sb="5" eb="6">
      <t>フク</t>
    </rPh>
    <phoneticPr fontId="2"/>
  </si>
  <si>
    <t>短期借入金の返済による支出</t>
    <rPh sb="0" eb="2">
      <t>タンキ</t>
    </rPh>
    <rPh sb="2" eb="5">
      <t>カリイレキン</t>
    </rPh>
    <rPh sb="6" eb="8">
      <t>ヘンサイ</t>
    </rPh>
    <rPh sb="11" eb="13">
      <t>シシュツ</t>
    </rPh>
    <phoneticPr fontId="2"/>
  </si>
  <si>
    <t>財務CFに含める</t>
    <rPh sb="0" eb="2">
      <t>ザイム</t>
    </rPh>
    <rPh sb="5" eb="6">
      <t>フク</t>
    </rPh>
    <phoneticPr fontId="2"/>
  </si>
  <si>
    <t>○</t>
    <phoneticPr fontId="2"/>
  </si>
  <si>
    <t>←ここは自分なりに説明できるまで理論を押さえる(初級)</t>
    <rPh sb="4" eb="6">
      <t>ジブン</t>
    </rPh>
    <rPh sb="9" eb="11">
      <t>セツメイ</t>
    </rPh>
    <rPh sb="16" eb="18">
      <t>リロン</t>
    </rPh>
    <rPh sb="19" eb="20">
      <t>オ</t>
    </rPh>
    <rPh sb="24" eb="26">
      <t>ショキュウ</t>
    </rPh>
    <phoneticPr fontId="2"/>
  </si>
  <si>
    <t>←ここは自分なりに説明できるまで理論を押さえる(中級)</t>
    <rPh sb="4" eb="6">
      <t>ジブン</t>
    </rPh>
    <rPh sb="9" eb="11">
      <t>セツメイ</t>
    </rPh>
    <rPh sb="16" eb="18">
      <t>リロン</t>
    </rPh>
    <rPh sb="19" eb="20">
      <t>オ</t>
    </rPh>
    <rPh sb="24" eb="26">
      <t>チュウキュウ</t>
    </rPh>
    <phoneticPr fontId="2"/>
  </si>
  <si>
    <t>←苦手な時は後回しで良い(未収未払前受前払は簿記2級でも苦手にする方が多く、ここにこだわらない)</t>
    <rPh sb="1" eb="3">
      <t>ニガテ</t>
    </rPh>
    <rPh sb="4" eb="5">
      <t>トキ</t>
    </rPh>
    <rPh sb="6" eb="8">
      <t>アトマワ</t>
    </rPh>
    <rPh sb="10" eb="11">
      <t>ヨ</t>
    </rPh>
    <rPh sb="13" eb="15">
      <t>ミシュウ</t>
    </rPh>
    <rPh sb="15" eb="17">
      <t>ミハライ</t>
    </rPh>
    <rPh sb="17" eb="19">
      <t>マエウケ</t>
    </rPh>
    <rPh sb="19" eb="21">
      <t>マエハラ</t>
    </rPh>
    <rPh sb="22" eb="24">
      <t>ボキ</t>
    </rPh>
    <rPh sb="25" eb="26">
      <t>キュウ</t>
    </rPh>
    <rPh sb="28" eb="30">
      <t>ニガテ</t>
    </rPh>
    <rPh sb="33" eb="34">
      <t>カタ</t>
    </rPh>
    <rPh sb="35" eb="36">
      <t>オオ</t>
    </rPh>
    <phoneticPr fontId="2"/>
  </si>
  <si>
    <t>用語を与えられ、CF計算書に順序良く埋め込むサービス問題</t>
    <rPh sb="0" eb="2">
      <t>ヨウゴ</t>
    </rPh>
    <rPh sb="3" eb="4">
      <t>アタ</t>
    </rPh>
    <rPh sb="10" eb="13">
      <t>ケイサンショ</t>
    </rPh>
    <rPh sb="14" eb="17">
      <t>ジュンジョヨ</t>
    </rPh>
    <rPh sb="18" eb="19">
      <t>ウ</t>
    </rPh>
    <rPh sb="20" eb="21">
      <t>コ</t>
    </rPh>
    <rPh sb="26" eb="28">
      <t>モンダイ</t>
    </rPh>
    <phoneticPr fontId="2"/>
  </si>
  <si>
    <t>税引前当期純利益</t>
    <rPh sb="0" eb="3">
      <t>ゼイビキマエ</t>
    </rPh>
    <rPh sb="3" eb="5">
      <t>トウキ</t>
    </rPh>
    <rPh sb="5" eb="8">
      <t>ジュンリエキ</t>
    </rPh>
    <phoneticPr fontId="2"/>
  </si>
  <si>
    <t>特別利益ー</t>
    <rPh sb="0" eb="2">
      <t>トクベツ</t>
    </rPh>
    <rPh sb="2" eb="4">
      <t>リエキ</t>
    </rPh>
    <phoneticPr fontId="2"/>
  </si>
  <si>
    <t>特別損失＋</t>
    <rPh sb="0" eb="2">
      <t>トクベツ</t>
    </rPh>
    <rPh sb="2" eb="4">
      <t>ソンシツ</t>
    </rPh>
    <phoneticPr fontId="2"/>
  </si>
  <si>
    <t>営業外収益ー</t>
    <rPh sb="0" eb="3">
      <t>エイギョウガイ</t>
    </rPh>
    <rPh sb="3" eb="5">
      <t>シュウエキ</t>
    </rPh>
    <phoneticPr fontId="2"/>
  </si>
  <si>
    <t>営業外費用＋</t>
    <rPh sb="0" eb="3">
      <t>エイギョウガイ</t>
    </rPh>
    <rPh sb="3" eb="5">
      <t>ヒヨウ</t>
    </rPh>
    <phoneticPr fontId="2"/>
  </si>
  <si>
    <t>減価償却費</t>
  </si>
  <si>
    <t>減価償却費</t>
    <rPh sb="0" eb="5">
      <t>ゲンカショウキャクヒ</t>
    </rPh>
    <phoneticPr fontId="2"/>
  </si>
  <si>
    <t>棚卸資産の増加額ー</t>
    <rPh sb="0" eb="4">
      <t>タナオロシシサン</t>
    </rPh>
    <rPh sb="5" eb="8">
      <t>ゾウカガク</t>
    </rPh>
    <phoneticPr fontId="2"/>
  </si>
  <si>
    <t>売上債権の増加額ー</t>
    <rPh sb="0" eb="4">
      <t>ウリアゲサイケン</t>
    </rPh>
    <rPh sb="5" eb="8">
      <t>ゾウカガク</t>
    </rPh>
    <phoneticPr fontId="2"/>
  </si>
  <si>
    <t>仕入債務の増加額＋</t>
    <rPh sb="0" eb="4">
      <t>シイレサイム</t>
    </rPh>
    <rPh sb="5" eb="8">
      <t>ゾウカガク</t>
    </rPh>
    <phoneticPr fontId="2"/>
  </si>
  <si>
    <t>小計</t>
    <rPh sb="0" eb="2">
      <t>ショウケイ</t>
    </rPh>
    <phoneticPr fontId="2"/>
  </si>
  <si>
    <t>法人税等の支払額</t>
    <rPh sb="0" eb="4">
      <t>ホウジンゼイトウ</t>
    </rPh>
    <rPh sb="5" eb="8">
      <t>シハライガク</t>
    </rPh>
    <phoneticPr fontId="2"/>
  </si>
  <si>
    <t>営業活動によるCF</t>
    <rPh sb="0" eb="4">
      <t>エイギョウカツドウ</t>
    </rPh>
    <phoneticPr fontId="2"/>
  </si>
  <si>
    <t>利息の受取額＋</t>
    <rPh sb="0" eb="2">
      <t>リソク</t>
    </rPh>
    <rPh sb="3" eb="6">
      <t>ウケトリガク</t>
    </rPh>
    <phoneticPr fontId="2"/>
  </si>
  <si>
    <t>利息の支払額ー</t>
    <rPh sb="0" eb="2">
      <t>リソク</t>
    </rPh>
    <rPh sb="3" eb="5">
      <t>シハラ</t>
    </rPh>
    <rPh sb="5" eb="6">
      <t>ガク</t>
    </rPh>
    <phoneticPr fontId="2"/>
  </si>
  <si>
    <t>←設問文にいないので答をみて埋める。誤植？</t>
    <rPh sb="1" eb="4">
      <t>セツモンブン</t>
    </rPh>
    <rPh sb="10" eb="11">
      <t>コタエ</t>
    </rPh>
    <rPh sb="14" eb="15">
      <t>ウ</t>
    </rPh>
    <rPh sb="18" eb="20">
      <t>ゴショク</t>
    </rPh>
    <phoneticPr fontId="2"/>
  </si>
  <si>
    <t>営業CFのうち、BSから作成する運転資金増減の練習問題</t>
    <rPh sb="0" eb="2">
      <t>エイギョウ</t>
    </rPh>
    <rPh sb="12" eb="14">
      <t>サクセイ</t>
    </rPh>
    <rPh sb="16" eb="18">
      <t>ウンテン</t>
    </rPh>
    <rPh sb="18" eb="20">
      <t>シキン</t>
    </rPh>
    <rPh sb="20" eb="22">
      <t>ゾウゲン</t>
    </rPh>
    <rPh sb="23" eb="25">
      <t>レンシュウ</t>
    </rPh>
    <rPh sb="25" eb="27">
      <t>モンダイ</t>
    </rPh>
    <phoneticPr fontId="2"/>
  </si>
  <si>
    <t>受取手形</t>
    <rPh sb="0" eb="4">
      <t>ウケトリテガタ</t>
    </rPh>
    <phoneticPr fontId="2"/>
  </si>
  <si>
    <t>売掛金</t>
    <rPh sb="0" eb="3">
      <t>ウリカケキン</t>
    </rPh>
    <phoneticPr fontId="2"/>
  </si>
  <si>
    <t>支払手形</t>
    <rPh sb="0" eb="2">
      <t>シハラ</t>
    </rPh>
    <rPh sb="2" eb="4">
      <t>テガタ</t>
    </rPh>
    <phoneticPr fontId="2"/>
  </si>
  <si>
    <t>買掛金</t>
    <rPh sb="0" eb="3">
      <t>カイカケキン</t>
    </rPh>
    <phoneticPr fontId="2"/>
  </si>
  <si>
    <t>増減</t>
    <rPh sb="0" eb="2">
      <t>ゾウゲン</t>
    </rPh>
    <phoneticPr fontId="2"/>
  </si>
  <si>
    <t>【解答】勘定科目が5つあり、解答欄が3つしかないので、まとめる必要がある</t>
    <rPh sb="1" eb="3">
      <t>カイトウ</t>
    </rPh>
    <rPh sb="4" eb="8">
      <t>カンジョウカモク</t>
    </rPh>
    <rPh sb="14" eb="17">
      <t>カイトウラン</t>
    </rPh>
    <rPh sb="31" eb="33">
      <t>ヒツヨウ</t>
    </rPh>
    <phoneticPr fontId="2"/>
  </si>
  <si>
    <t>売上債権の増加ー</t>
    <rPh sb="0" eb="4">
      <t>ウリアゲサイケン</t>
    </rPh>
    <rPh sb="5" eb="7">
      <t>ゾウカ</t>
    </rPh>
    <phoneticPr fontId="2"/>
  </si>
  <si>
    <t>棚卸資産の増加ー</t>
    <rPh sb="0" eb="4">
      <t>タナオロシシサン</t>
    </rPh>
    <rPh sb="5" eb="7">
      <t>ゾウカ</t>
    </rPh>
    <phoneticPr fontId="2"/>
  </si>
  <si>
    <t>仕入債務の増加＋</t>
    <rPh sb="0" eb="4">
      <t>シイレサイム</t>
    </rPh>
    <rPh sb="5" eb="7">
      <t>ゾウカ</t>
    </rPh>
    <phoneticPr fontId="2"/>
  </si>
  <si>
    <t xml:space="preserve">  小計</t>
    <rPh sb="2" eb="4">
      <t>ショウケイ</t>
    </rPh>
    <phoneticPr fontId="2"/>
  </si>
  <si>
    <t>利息の受取額</t>
    <rPh sb="0" eb="2">
      <t>リソク</t>
    </rPh>
    <rPh sb="3" eb="6">
      <t>ウケトリガク</t>
    </rPh>
    <phoneticPr fontId="2"/>
  </si>
  <si>
    <t>利息の支払額</t>
    <rPh sb="0" eb="2">
      <t>リソク</t>
    </rPh>
    <rPh sb="3" eb="5">
      <t>シハラ</t>
    </rPh>
    <rPh sb="5" eb="6">
      <t>ガク</t>
    </rPh>
    <phoneticPr fontId="2"/>
  </si>
  <si>
    <t>←金額は与えられていない。誤植？</t>
    <rPh sb="1" eb="3">
      <t>キンガク</t>
    </rPh>
    <rPh sb="4" eb="5">
      <t>アタ</t>
    </rPh>
    <rPh sb="13" eb="15">
      <t>ゴショク</t>
    </rPh>
    <phoneticPr fontId="2"/>
  </si>
  <si>
    <t>PLとBSから間接法営業CFを作る。重要</t>
    <rPh sb="7" eb="10">
      <t>カンセツホウ</t>
    </rPh>
    <rPh sb="10" eb="12">
      <t>エイギョウ</t>
    </rPh>
    <rPh sb="15" eb="16">
      <t>ツク</t>
    </rPh>
    <rPh sb="18" eb="20">
      <t>ジュウヨウ</t>
    </rPh>
    <phoneticPr fontId="2"/>
  </si>
  <si>
    <t>第4問</t>
    <rPh sb="0" eb="1">
      <t>ダイ</t>
    </rPh>
    <rPh sb="2" eb="3">
      <t>モン</t>
    </rPh>
    <phoneticPr fontId="2"/>
  </si>
  <si>
    <t>仕入債務</t>
    <rPh sb="0" eb="4">
      <t>シイレサイム</t>
    </rPh>
    <phoneticPr fontId="2"/>
  </si>
  <si>
    <t>BS</t>
    <phoneticPr fontId="2"/>
  </si>
  <si>
    <t>PL</t>
    <phoneticPr fontId="2"/>
  </si>
  <si>
    <t>売上債権の減少＋</t>
    <rPh sb="0" eb="4">
      <t>ウリアゲサイケン</t>
    </rPh>
    <rPh sb="5" eb="7">
      <t>ゲンショウ</t>
    </rPh>
    <phoneticPr fontId="2"/>
  </si>
  <si>
    <t>棚卸資産の減少＋</t>
    <rPh sb="0" eb="4">
      <t>タナオロシシサン</t>
    </rPh>
    <rPh sb="5" eb="7">
      <t>ゲンショウ</t>
    </rPh>
    <phoneticPr fontId="2"/>
  </si>
  <si>
    <t>仕入債務の減少ー</t>
    <rPh sb="0" eb="4">
      <t>シイレサイム</t>
    </rPh>
    <rPh sb="5" eb="7">
      <t>ゲンショウ</t>
    </rPh>
    <phoneticPr fontId="2"/>
  </si>
  <si>
    <t>営業外収益・受取利息</t>
    <rPh sb="0" eb="3">
      <t>エイギョウガイ</t>
    </rPh>
    <rPh sb="3" eb="5">
      <t>シュウエキ</t>
    </rPh>
    <rPh sb="6" eb="8">
      <t>ウケトリ</t>
    </rPh>
    <rPh sb="8" eb="10">
      <t>リソク</t>
    </rPh>
    <phoneticPr fontId="2"/>
  </si>
  <si>
    <t>営業外費用・支払利息</t>
    <rPh sb="0" eb="3">
      <t>エイギョウガイ</t>
    </rPh>
    <rPh sb="3" eb="5">
      <t>ヒヨウ</t>
    </rPh>
    <rPh sb="6" eb="10">
      <t>シハライリソク</t>
    </rPh>
    <phoneticPr fontId="2"/>
  </si>
  <si>
    <t>←税前から営業利益への調整</t>
    <rPh sb="1" eb="3">
      <t>ゼイマエ</t>
    </rPh>
    <rPh sb="5" eb="7">
      <t>エイギョウ</t>
    </rPh>
    <rPh sb="7" eb="9">
      <t>リエキ</t>
    </rPh>
    <rPh sb="11" eb="13">
      <t>チョウセイ</t>
    </rPh>
    <phoneticPr fontId="2"/>
  </si>
  <si>
    <t>←非資金費用は加算</t>
    <rPh sb="1" eb="2">
      <t>ヒ</t>
    </rPh>
    <rPh sb="2" eb="4">
      <t>シキン</t>
    </rPh>
    <rPh sb="4" eb="6">
      <t>ヒヨウ</t>
    </rPh>
    <rPh sb="7" eb="9">
      <t>カサン</t>
    </rPh>
    <phoneticPr fontId="2"/>
  </si>
  <si>
    <t>間接法は±逆になる行が多く、ここが苦手の原因</t>
    <rPh sb="0" eb="3">
      <t>カンセツホウ</t>
    </rPh>
    <rPh sb="5" eb="6">
      <t>ギャク</t>
    </rPh>
    <rPh sb="9" eb="10">
      <t>ギョウ</t>
    </rPh>
    <rPh sb="11" eb="12">
      <t>オオ</t>
    </rPh>
    <rPh sb="17" eb="19">
      <t>ニガテ</t>
    </rPh>
    <rPh sb="20" eb="22">
      <t>ゲンイン</t>
    </rPh>
    <phoneticPr fontId="2"/>
  </si>
  <si>
    <t>第5問</t>
    <rPh sb="0" eb="1">
      <t>ダイ</t>
    </rPh>
    <rPh sb="2" eb="3">
      <t>モン</t>
    </rPh>
    <phoneticPr fontId="2"/>
  </si>
  <si>
    <t>小計の下</t>
    <rPh sb="0" eb="2">
      <t>ショウケイ</t>
    </rPh>
    <rPh sb="3" eb="4">
      <t>シタ</t>
    </rPh>
    <phoneticPr fontId="2"/>
  </si>
  <si>
    <t>利息の受取/支払額、法人税等の支払額はPL＋期首期末未払の調整で作る。これを勘定分析と呼ぶが、完全に簿記論点なので苦手な人は捨ててOK</t>
    <rPh sb="0" eb="2">
      <t>リソク</t>
    </rPh>
    <rPh sb="3" eb="5">
      <t>ウケトリ</t>
    </rPh>
    <rPh sb="6" eb="9">
      <t>シハライガク</t>
    </rPh>
    <rPh sb="10" eb="14">
      <t>ホウジンゼイトウ</t>
    </rPh>
    <rPh sb="15" eb="18">
      <t>シハライガク</t>
    </rPh>
    <rPh sb="22" eb="26">
      <t>キシュキマツ</t>
    </rPh>
    <rPh sb="26" eb="28">
      <t>ミバライ</t>
    </rPh>
    <rPh sb="29" eb="31">
      <t>チョウセイ</t>
    </rPh>
    <rPh sb="32" eb="33">
      <t>ツク</t>
    </rPh>
    <rPh sb="38" eb="42">
      <t>カンジョウブンセキ</t>
    </rPh>
    <rPh sb="43" eb="44">
      <t>ヨ</t>
    </rPh>
    <rPh sb="47" eb="49">
      <t>カンゼン</t>
    </rPh>
    <rPh sb="50" eb="54">
      <t>ボキロンテン</t>
    </rPh>
    <rPh sb="57" eb="59">
      <t>ニガテ</t>
    </rPh>
    <rPh sb="60" eb="61">
      <t>ヒト</t>
    </rPh>
    <rPh sb="62" eb="63">
      <t>ス</t>
    </rPh>
    <phoneticPr fontId="2"/>
  </si>
  <si>
    <t>当期支払額</t>
    <rPh sb="0" eb="2">
      <t>トウキ</t>
    </rPh>
    <rPh sb="2" eb="4">
      <t>シハラ</t>
    </rPh>
    <rPh sb="4" eb="5">
      <t>ガク</t>
    </rPh>
    <phoneticPr fontId="2"/>
  </si>
  <si>
    <t>期首未払</t>
    <rPh sb="0" eb="2">
      <t>キシュ</t>
    </rPh>
    <rPh sb="2" eb="4">
      <t>ミハライ</t>
    </rPh>
    <phoneticPr fontId="2"/>
  </si>
  <si>
    <t>期末未払</t>
    <rPh sb="0" eb="2">
      <t>キマツ</t>
    </rPh>
    <rPh sb="2" eb="4">
      <t>ミハライ</t>
    </rPh>
    <phoneticPr fontId="2"/>
  </si>
  <si>
    <t>当期計上額</t>
    <rPh sb="0" eb="2">
      <t>トウキ</t>
    </rPh>
    <rPh sb="2" eb="4">
      <t>ケイジョウ</t>
    </rPh>
    <rPh sb="4" eb="5">
      <t>ガク</t>
    </rPh>
    <phoneticPr fontId="2"/>
  </si>
  <si>
    <t>←最初のうちは不得意だが、簿記2級工業簿記のBOX計算に慣れた方なら超簡単。同時に、簿記抜きでここを理解しよう、得意化しようとムキになるのは非効率</t>
    <rPh sb="1" eb="3">
      <t>サイショ</t>
    </rPh>
    <rPh sb="7" eb="10">
      <t>フトクイ</t>
    </rPh>
    <rPh sb="13" eb="15">
      <t>ボキ</t>
    </rPh>
    <rPh sb="16" eb="17">
      <t>キュウ</t>
    </rPh>
    <rPh sb="17" eb="21">
      <t>コウギョウボキ</t>
    </rPh>
    <rPh sb="25" eb="27">
      <t>ケイサン</t>
    </rPh>
    <rPh sb="28" eb="29">
      <t>ナ</t>
    </rPh>
    <rPh sb="31" eb="32">
      <t>カタ</t>
    </rPh>
    <rPh sb="34" eb="37">
      <t>チョウカンタン</t>
    </rPh>
    <rPh sb="38" eb="40">
      <t>ドウジ</t>
    </rPh>
    <rPh sb="42" eb="44">
      <t>ボキ</t>
    </rPh>
    <rPh sb="44" eb="45">
      <t>ヌ</t>
    </rPh>
    <rPh sb="50" eb="52">
      <t>リカイ</t>
    </rPh>
    <rPh sb="56" eb="58">
      <t>トクイ</t>
    </rPh>
    <rPh sb="58" eb="59">
      <t>カ</t>
    </rPh>
    <rPh sb="70" eb="73">
      <t>ヒコウリツ</t>
    </rPh>
    <phoneticPr fontId="2"/>
  </si>
  <si>
    <t>第6問</t>
    <rPh sb="0" eb="1">
      <t>ダイ</t>
    </rPh>
    <rPh sb="2" eb="3">
      <t>モン</t>
    </rPh>
    <phoneticPr fontId="2"/>
  </si>
  <si>
    <t>投資活動CF</t>
    <rPh sb="0" eb="4">
      <t>トウシカツドウ</t>
    </rPh>
    <phoneticPr fontId="2"/>
  </si>
  <si>
    <t>・・事例Ⅳで出題されたことがまずなく、簿記2級商簿をやった方なら簡単すぎるので、やはり出題しにくい論点。</t>
    <rPh sb="2" eb="4">
      <t>ジレイ</t>
    </rPh>
    <rPh sb="6" eb="8">
      <t>シュツダイ</t>
    </rPh>
    <rPh sb="19" eb="21">
      <t>ボキ</t>
    </rPh>
    <rPh sb="22" eb="23">
      <t>キュウ</t>
    </rPh>
    <rPh sb="23" eb="25">
      <t>ショウボ</t>
    </rPh>
    <rPh sb="29" eb="30">
      <t>カタ</t>
    </rPh>
    <rPh sb="32" eb="34">
      <t>カンタン</t>
    </rPh>
    <rPh sb="43" eb="45">
      <t>シュツダイ</t>
    </rPh>
    <rPh sb="49" eb="51">
      <t>ロンテン</t>
    </rPh>
    <phoneticPr fontId="2"/>
  </si>
  <si>
    <t>やり方としては、</t>
    <rPh sb="2" eb="3">
      <t>カタ</t>
    </rPh>
    <phoneticPr fontId="2"/>
  </si>
  <si>
    <t>期首</t>
    <rPh sb="0" eb="2">
      <t>キシュ</t>
    </rPh>
    <phoneticPr fontId="2"/>
  </si>
  <si>
    <t>期末</t>
    <rPh sb="0" eb="2">
      <t>キマツ</t>
    </rPh>
    <phoneticPr fontId="2"/>
  </si>
  <si>
    <t>当期取得</t>
    <rPh sb="0" eb="2">
      <t>トウキ</t>
    </rPh>
    <rPh sb="2" eb="4">
      <t>シュトク</t>
    </rPh>
    <phoneticPr fontId="2"/>
  </si>
  <si>
    <t>当期売却(収入)</t>
    <rPh sb="0" eb="2">
      <t>トウキ</t>
    </rPh>
    <rPh sb="2" eb="4">
      <t>バイキャク</t>
    </rPh>
    <rPh sb="5" eb="7">
      <t>シュウニュウ</t>
    </rPh>
    <phoneticPr fontId="2"/>
  </si>
  <si>
    <t>減価償却額</t>
    <rPh sb="0" eb="4">
      <t>ゲンカショウキャク</t>
    </rPh>
    <rPh sb="4" eb="5">
      <t>ガク</t>
    </rPh>
    <phoneticPr fontId="2"/>
  </si>
  <si>
    <t>当期償却</t>
    <rPh sb="0" eb="2">
      <t>トウキ</t>
    </rPh>
    <rPh sb="2" eb="4">
      <t>ショウキャク</t>
    </rPh>
    <phoneticPr fontId="2"/>
  </si>
  <si>
    <t>売却分</t>
    <rPh sb="0" eb="3">
      <t>バイキャクブン</t>
    </rPh>
    <phoneticPr fontId="2"/>
  </si>
  <si>
    <t>(使いたくないが)仕訳を描いて考える</t>
    <rPh sb="1" eb="2">
      <t>ツカ</t>
    </rPh>
    <rPh sb="9" eb="11">
      <t>シワケ</t>
    </rPh>
    <rPh sb="12" eb="13">
      <t>カ</t>
    </rPh>
    <rPh sb="15" eb="16">
      <t>カンガ</t>
    </rPh>
    <phoneticPr fontId="2"/>
  </si>
  <si>
    <t>固定資産売却益</t>
    <rPh sb="0" eb="4">
      <t>コテイシサン</t>
    </rPh>
    <rPh sb="4" eb="7">
      <t>バイキャクエキ</t>
    </rPh>
    <phoneticPr fontId="2"/>
  </si>
  <si>
    <t>減価償却累計額</t>
    <rPh sb="0" eb="7">
      <t>ゲンカショウキャクルイケイガク</t>
    </rPh>
    <phoneticPr fontId="2"/>
  </si>
  <si>
    <t>現金</t>
    <rPh sb="0" eb="2">
      <t>ゲンキン</t>
    </rPh>
    <phoneticPr fontId="2"/>
  </si>
  <si>
    <t>固定資産売却損</t>
    <rPh sb="0" eb="4">
      <t>コテイシサン</t>
    </rPh>
    <rPh sb="4" eb="7">
      <t>バイキャクソン</t>
    </rPh>
    <phoneticPr fontId="2"/>
  </si>
  <si>
    <t>第7問</t>
    <rPh sb="0" eb="1">
      <t>ダイ</t>
    </rPh>
    <rPh sb="2" eb="3">
      <t>モン</t>
    </rPh>
    <phoneticPr fontId="2"/>
  </si>
  <si>
    <t>財務活動CF</t>
    <rPh sb="0" eb="4">
      <t>ザイムカツドウ</t>
    </rPh>
    <phoneticPr fontId="2"/>
  </si>
  <si>
    <t>・・投資CFも出ないのに財務CFとなると、極めてレアキャラ扱いに</t>
    <rPh sb="2" eb="4">
      <t>トウシ</t>
    </rPh>
    <rPh sb="7" eb="8">
      <t>デ</t>
    </rPh>
    <rPh sb="12" eb="14">
      <t>ザイム</t>
    </rPh>
    <rPh sb="21" eb="22">
      <t>キワ</t>
    </rPh>
    <rPh sb="29" eb="30">
      <t>アツカ</t>
    </rPh>
    <phoneticPr fontId="2"/>
  </si>
  <si>
    <t xml:space="preserve">       理解しなくて良いので、解説のどこに何が入るかだけを見ておく</t>
    <rPh sb="7" eb="9">
      <t>リカイ</t>
    </rPh>
    <rPh sb="13" eb="14">
      <t>ヨ</t>
    </rPh>
    <rPh sb="18" eb="20">
      <t>カイセツ</t>
    </rPh>
    <rPh sb="24" eb="25">
      <t>ナニ</t>
    </rPh>
    <rPh sb="26" eb="27">
      <t>ハイ</t>
    </rPh>
    <rPh sb="32" eb="33">
      <t>ミ</t>
    </rPh>
    <phoneticPr fontId="2"/>
  </si>
  <si>
    <t>長期借入による増加＋</t>
    <rPh sb="0" eb="4">
      <t>チョウキカリイレ</t>
    </rPh>
    <rPh sb="7" eb="9">
      <t>ゾウカ</t>
    </rPh>
    <phoneticPr fontId="2"/>
  </si>
  <si>
    <t>短期借入金の返済による減ー</t>
    <rPh sb="0" eb="2">
      <t>タンキ</t>
    </rPh>
    <rPh sb="2" eb="5">
      <t>カリイレキン</t>
    </rPh>
    <rPh sb="6" eb="8">
      <t>ヘンサイ</t>
    </rPh>
    <rPh sb="11" eb="12">
      <t>ゲン</t>
    </rPh>
    <phoneticPr fontId="2"/>
  </si>
  <si>
    <t>CF表示額</t>
    <rPh sb="2" eb="5">
      <t>ヒョウジガク</t>
    </rPh>
    <phoneticPr fontId="2"/>
  </si>
  <si>
    <t>配当による減少</t>
    <rPh sb="0" eb="2">
      <t>ハイトウ</t>
    </rPh>
    <rPh sb="5" eb="7">
      <t>ゲンショウ</t>
    </rPh>
    <phoneticPr fontId="2"/>
  </si>
  <si>
    <t>財務CF合計</t>
    <rPh sb="0" eb="2">
      <t>ザイム</t>
    </rPh>
    <rPh sb="4" eb="6">
      <t>ゴウケイ</t>
    </rPh>
    <phoneticPr fontId="2"/>
  </si>
  <si>
    <t>【応用問題】</t>
    <rPh sb="1" eb="3">
      <t>オウヨウ</t>
    </rPh>
    <rPh sb="3" eb="5">
      <t>モンダイ</t>
    </rPh>
    <phoneticPr fontId="2"/>
  </si>
  <si>
    <t>2期BS＋PLからCF計算書を作成</t>
    <rPh sb="1" eb="2">
      <t>キ</t>
    </rPh>
    <rPh sb="11" eb="14">
      <t>ケイサンショ</t>
    </rPh>
    <rPh sb="15" eb="17">
      <t>サクセイ</t>
    </rPh>
    <phoneticPr fontId="2"/>
  </si>
  <si>
    <t>キャッシュ・フロー計算書の簡易作成ツール（入力用）</t>
    <rPh sb="9" eb="12">
      <t>ケイサンショ</t>
    </rPh>
    <rPh sb="13" eb="15">
      <t>カンイ</t>
    </rPh>
    <rPh sb="15" eb="17">
      <t>サクセイ</t>
    </rPh>
    <rPh sb="21" eb="24">
      <t>ニュウリョクヨウ</t>
    </rPh>
    <phoneticPr fontId="10"/>
  </si>
  <si>
    <t>　キャッシュ・フロー計算書　</t>
    <rPh sb="10" eb="13">
      <t>ケイサンショ</t>
    </rPh>
    <phoneticPr fontId="10"/>
  </si>
  <si>
    <t>自平成○○年○月○日　　至平成○○年○月○日</t>
    <rPh sb="0" eb="1">
      <t>ジ</t>
    </rPh>
    <rPh sb="1" eb="3">
      <t>ヘイセイ</t>
    </rPh>
    <rPh sb="5" eb="6">
      <t>ネン</t>
    </rPh>
    <rPh sb="7" eb="8">
      <t>ツキ</t>
    </rPh>
    <rPh sb="9" eb="10">
      <t>ヒ</t>
    </rPh>
    <rPh sb="12" eb="13">
      <t>イタル</t>
    </rPh>
    <rPh sb="13" eb="15">
      <t>ヘイセイ</t>
    </rPh>
    <rPh sb="17" eb="18">
      <t>ネン</t>
    </rPh>
    <rPh sb="19" eb="20">
      <t>ツキ</t>
    </rPh>
    <rPh sb="21" eb="22">
      <t>ヒ</t>
    </rPh>
    <phoneticPr fontId="10"/>
  </si>
  <si>
    <t>１．貸借対照表の入力</t>
    <rPh sb="2" eb="4">
      <t>タイシャク</t>
    </rPh>
    <rPh sb="4" eb="7">
      <t>タイショウヒョウ</t>
    </rPh>
    <rPh sb="8" eb="10">
      <t>ニュウリョク</t>
    </rPh>
    <phoneticPr fontId="10"/>
  </si>
  <si>
    <t>（単位：百万円）</t>
    <rPh sb="1" eb="3">
      <t>タンイ</t>
    </rPh>
    <rPh sb="4" eb="7">
      <t>ヒャクマンエン</t>
    </rPh>
    <phoneticPr fontId="10"/>
  </si>
  <si>
    <t>（単位：百万円）</t>
    <rPh sb="1" eb="3">
      <t>タンイ</t>
    </rPh>
    <rPh sb="4" eb="5">
      <t>ヒャク</t>
    </rPh>
    <rPh sb="5" eb="7">
      <t>マンエン</t>
    </rPh>
    <phoneticPr fontId="10"/>
  </si>
  <si>
    <t>効率性</t>
    <rPh sb="0" eb="3">
      <t>コウリツセイ</t>
    </rPh>
    <phoneticPr fontId="12"/>
  </si>
  <si>
    <t>項目</t>
    <rPh sb="0" eb="1">
      <t>コウ</t>
    </rPh>
    <rPh sb="1" eb="2">
      <t>モク</t>
    </rPh>
    <phoneticPr fontId="10"/>
  </si>
  <si>
    <t>前期</t>
    <rPh sb="0" eb="2">
      <t>ゼンキ</t>
    </rPh>
    <phoneticPr fontId="10"/>
  </si>
  <si>
    <t>当期</t>
    <rPh sb="0" eb="2">
      <t>トウキ</t>
    </rPh>
    <phoneticPr fontId="10"/>
  </si>
  <si>
    <t>増減</t>
    <rPh sb="0" eb="2">
      <t>ゾウゲン</t>
    </rPh>
    <phoneticPr fontId="10"/>
  </si>
  <si>
    <t>項　　　　　　目</t>
    <rPh sb="0" eb="8">
      <t>コウモク</t>
    </rPh>
    <phoneticPr fontId="10"/>
  </si>
  <si>
    <t>金　額</t>
    <rPh sb="0" eb="1">
      <t>キン</t>
    </rPh>
    <rPh sb="2" eb="3">
      <t>ガク</t>
    </rPh>
    <phoneticPr fontId="10"/>
  </si>
  <si>
    <t>現金及び預金</t>
    <rPh sb="0" eb="2">
      <t>ゲンキン</t>
    </rPh>
    <rPh sb="2" eb="3">
      <t>オヨ</t>
    </rPh>
    <rPh sb="4" eb="6">
      <t>ヨキン</t>
    </rPh>
    <phoneticPr fontId="10"/>
  </si>
  <si>
    <t>支払手形</t>
    <rPh sb="0" eb="2">
      <t>シハラ</t>
    </rPh>
    <rPh sb="2" eb="4">
      <t>テガタ</t>
    </rPh>
    <phoneticPr fontId="10"/>
  </si>
  <si>
    <t>Ⅰ 営業活動によるキャッシュ・フロー</t>
    <rPh sb="2" eb="6">
      <t>エイギョウカツドウ</t>
    </rPh>
    <phoneticPr fontId="10"/>
  </si>
  <si>
    <t>売上債権回転率</t>
    <rPh sb="0" eb="2">
      <t>ウリアゲ</t>
    </rPh>
    <rPh sb="2" eb="4">
      <t>サイケン</t>
    </rPh>
    <rPh sb="4" eb="6">
      <t>カイテン</t>
    </rPh>
    <rPh sb="6" eb="7">
      <t>リツ</t>
    </rPh>
    <phoneticPr fontId="12"/>
  </si>
  <si>
    <t>受取手形</t>
    <rPh sb="0" eb="2">
      <t>ウケトリカンジョウ</t>
    </rPh>
    <rPh sb="2" eb="4">
      <t>テガタ</t>
    </rPh>
    <phoneticPr fontId="10"/>
  </si>
  <si>
    <t>買掛金</t>
    <rPh sb="0" eb="3">
      <t>カイカケキン</t>
    </rPh>
    <phoneticPr fontId="10"/>
  </si>
  <si>
    <t>　（１）税引前当期純利益（＋）</t>
    <rPh sb="4" eb="6">
      <t>ゼイビ</t>
    </rPh>
    <rPh sb="6" eb="7">
      <t>マエ</t>
    </rPh>
    <rPh sb="7" eb="9">
      <t>トウキ</t>
    </rPh>
    <rPh sb="9" eb="10">
      <t>ジュン</t>
    </rPh>
    <rPh sb="10" eb="12">
      <t>リエキ</t>
    </rPh>
    <phoneticPr fontId="10"/>
  </si>
  <si>
    <t>売掛金</t>
    <rPh sb="0" eb="2">
      <t>ウリカケ</t>
    </rPh>
    <rPh sb="2" eb="3">
      <t>キン</t>
    </rPh>
    <phoneticPr fontId="10"/>
  </si>
  <si>
    <t>短期借入金</t>
    <rPh sb="0" eb="5">
      <t>タンキカリイレキン</t>
    </rPh>
    <phoneticPr fontId="10"/>
  </si>
  <si>
    <t>　（２）非資金の費用項目</t>
    <rPh sb="4" eb="5">
      <t>ヒ</t>
    </rPh>
    <rPh sb="5" eb="7">
      <t>シキン</t>
    </rPh>
    <rPh sb="8" eb="10">
      <t>ヒヨウ</t>
    </rPh>
    <rPh sb="10" eb="12">
      <t>コウモク</t>
    </rPh>
    <phoneticPr fontId="10"/>
  </si>
  <si>
    <t>棚卸資産回転率⑤⑥</t>
    <rPh sb="0" eb="2">
      <t>タナオロシ</t>
    </rPh>
    <rPh sb="2" eb="4">
      <t>シサン</t>
    </rPh>
    <rPh sb="4" eb="6">
      <t>カイテン</t>
    </rPh>
    <rPh sb="6" eb="7">
      <t>リツ</t>
    </rPh>
    <phoneticPr fontId="12"/>
  </si>
  <si>
    <t>有価証券</t>
    <phoneticPr fontId="10"/>
  </si>
  <si>
    <t>前受金</t>
    <rPh sb="0" eb="2">
      <t>マエウケ</t>
    </rPh>
    <rPh sb="2" eb="3">
      <t>キン</t>
    </rPh>
    <phoneticPr fontId="10"/>
  </si>
  <si>
    <t>　　　１．減価償却費（＋）</t>
    <rPh sb="5" eb="10">
      <t>ゲンカショウキャクヒ</t>
    </rPh>
    <phoneticPr fontId="10"/>
  </si>
  <si>
    <t>棚卸資産</t>
    <rPh sb="0" eb="2">
      <t>タナオロシ</t>
    </rPh>
    <rPh sb="2" eb="4">
      <t>シサン</t>
    </rPh>
    <phoneticPr fontId="10"/>
  </si>
  <si>
    <t>引当金</t>
    <rPh sb="0" eb="3">
      <t>ヒキアテキン</t>
    </rPh>
    <phoneticPr fontId="10"/>
  </si>
  <si>
    <t>　　　２．諸引当金の増加（＋）・減少（－）額</t>
    <rPh sb="5" eb="6">
      <t>ショ</t>
    </rPh>
    <rPh sb="6" eb="9">
      <t>ヒキアテキン</t>
    </rPh>
    <rPh sb="10" eb="12">
      <t>ゾウカ</t>
    </rPh>
    <rPh sb="16" eb="18">
      <t>ゲンショウ</t>
    </rPh>
    <rPh sb="21" eb="22">
      <t>ガク</t>
    </rPh>
    <phoneticPr fontId="10"/>
  </si>
  <si>
    <t>短期貸付金</t>
    <rPh sb="0" eb="2">
      <t>タンキ</t>
    </rPh>
    <rPh sb="2" eb="4">
      <t>カシツケ</t>
    </rPh>
    <rPh sb="4" eb="5">
      <t>キン</t>
    </rPh>
    <phoneticPr fontId="10"/>
  </si>
  <si>
    <t>その他の流動負債</t>
    <rPh sb="0" eb="3">
      <t>ソノタ</t>
    </rPh>
    <rPh sb="4" eb="8">
      <t>リュウドウフサイ</t>
    </rPh>
    <phoneticPr fontId="10"/>
  </si>
  <si>
    <t xml:space="preserve">           ３．特損益</t>
    <rPh sb="13" eb="14">
      <t>トク</t>
    </rPh>
    <rPh sb="14" eb="16">
      <t>ソンエキ</t>
    </rPh>
    <phoneticPr fontId="12"/>
  </si>
  <si>
    <t>その他の流動資産</t>
    <phoneticPr fontId="10"/>
  </si>
  <si>
    <t>流動負債合計</t>
    <rPh sb="0" eb="6">
      <t>リュウドウフサイゴウケイ</t>
    </rPh>
    <phoneticPr fontId="10"/>
  </si>
  <si>
    <t xml:space="preserve">           ４.  営業外収益</t>
    <rPh sb="15" eb="18">
      <t>エイギョウガイ</t>
    </rPh>
    <rPh sb="18" eb="20">
      <t>シュウエキ</t>
    </rPh>
    <phoneticPr fontId="12"/>
  </si>
  <si>
    <t>流動比率</t>
    <rPh sb="0" eb="2">
      <t>リュウドウ</t>
    </rPh>
    <rPh sb="2" eb="4">
      <t>ヒリツ</t>
    </rPh>
    <phoneticPr fontId="12"/>
  </si>
  <si>
    <t>貸倒引当金</t>
    <phoneticPr fontId="10"/>
  </si>
  <si>
    <t>長期借入金</t>
    <rPh sb="0" eb="5">
      <t>チョウキカリイレキン</t>
    </rPh>
    <phoneticPr fontId="10"/>
  </si>
  <si>
    <t xml:space="preserve">           ５.  営業外費用</t>
    <rPh sb="15" eb="18">
      <t>エイギョウガイ</t>
    </rPh>
    <rPh sb="18" eb="20">
      <t>ヒヨウ</t>
    </rPh>
    <phoneticPr fontId="12"/>
  </si>
  <si>
    <t>流動資産合計</t>
  </si>
  <si>
    <t>社債</t>
    <rPh sb="0" eb="2">
      <t>シャサイ</t>
    </rPh>
    <phoneticPr fontId="10"/>
  </si>
  <si>
    <t>　（３）回収・支払サイト</t>
    <rPh sb="4" eb="6">
      <t>カイシュウ</t>
    </rPh>
    <phoneticPr fontId="10"/>
  </si>
  <si>
    <t>有形固定資産回転率⑦⑧</t>
    <rPh sb="0" eb="2">
      <t>ユウケイ</t>
    </rPh>
    <rPh sb="2" eb="4">
      <t>コテイ</t>
    </rPh>
    <rPh sb="4" eb="6">
      <t>シサン</t>
    </rPh>
    <rPh sb="6" eb="8">
      <t>カイテン</t>
    </rPh>
    <rPh sb="8" eb="9">
      <t>リツ</t>
    </rPh>
    <phoneticPr fontId="12"/>
  </si>
  <si>
    <t>土地</t>
  </si>
  <si>
    <t>　　　１．受取手形の増加（－）・減少（＋）額</t>
    <rPh sb="5" eb="7">
      <t>ウケトリ</t>
    </rPh>
    <rPh sb="7" eb="9">
      <t>テガタ</t>
    </rPh>
    <rPh sb="10" eb="21">
      <t>ゾウゲン</t>
    </rPh>
    <rPh sb="21" eb="22">
      <t>ガク</t>
    </rPh>
    <phoneticPr fontId="10"/>
  </si>
  <si>
    <t>減価償却資産</t>
  </si>
  <si>
    <t>その他の固定負債</t>
    <rPh sb="0" eb="3">
      <t>ソノタ</t>
    </rPh>
    <rPh sb="4" eb="8">
      <t>コテイフサイ</t>
    </rPh>
    <phoneticPr fontId="10"/>
  </si>
  <si>
    <t>　　　２．売掛金の増加（－）・減少（＋）額</t>
    <rPh sb="5" eb="8">
      <t>ウリカケキン</t>
    </rPh>
    <rPh sb="9" eb="20">
      <t>ゾウゲン</t>
    </rPh>
    <rPh sb="20" eb="21">
      <t>ガク</t>
    </rPh>
    <phoneticPr fontId="10"/>
  </si>
  <si>
    <t>建設仮勘定</t>
    <rPh sb="0" eb="2">
      <t>ケンセツ</t>
    </rPh>
    <rPh sb="2" eb="5">
      <t>カリカンジョウ</t>
    </rPh>
    <phoneticPr fontId="10"/>
  </si>
  <si>
    <t>固定負債合計</t>
    <rPh sb="0" eb="2">
      <t>コテイ</t>
    </rPh>
    <rPh sb="2" eb="6">
      <t>フサイゴウケイ</t>
    </rPh>
    <phoneticPr fontId="10"/>
  </si>
  <si>
    <t>　　　３．棚卸資産の増加（－）・減少（＋）額</t>
    <rPh sb="5" eb="7">
      <t>タナオロシ</t>
    </rPh>
    <rPh sb="7" eb="9">
      <t>シサン</t>
    </rPh>
    <rPh sb="10" eb="21">
      <t>ゾウゲン</t>
    </rPh>
    <rPh sb="21" eb="22">
      <t>ガク</t>
    </rPh>
    <phoneticPr fontId="10"/>
  </si>
  <si>
    <t>無形固定資産</t>
  </si>
  <si>
    <t>負債合計</t>
    <rPh sb="0" eb="4">
      <t>フサイゴウケイ</t>
    </rPh>
    <phoneticPr fontId="10"/>
  </si>
  <si>
    <t>　　　４．その他の流動資産の増加（－）・減少（＋）額</t>
    <rPh sb="5" eb="8">
      <t>ソノタ</t>
    </rPh>
    <rPh sb="9" eb="11">
      <t>リュウドウ</t>
    </rPh>
    <rPh sb="11" eb="13">
      <t>シサン</t>
    </rPh>
    <rPh sb="14" eb="25">
      <t>ゾウゲン</t>
    </rPh>
    <rPh sb="25" eb="26">
      <t>ガク</t>
    </rPh>
    <phoneticPr fontId="10"/>
  </si>
  <si>
    <t>投資有価証券</t>
  </si>
  <si>
    <t>資本金</t>
    <rPh sb="0" eb="3">
      <t>シホンキン</t>
    </rPh>
    <phoneticPr fontId="10"/>
  </si>
  <si>
    <t>　　　５．支払手形の増加（＋）・減少（－）額</t>
    <rPh sb="5" eb="7">
      <t>シハライ</t>
    </rPh>
    <rPh sb="7" eb="9">
      <t>テガタ</t>
    </rPh>
    <rPh sb="10" eb="21">
      <t>ゾウゲン</t>
    </rPh>
    <rPh sb="21" eb="22">
      <t>ガク</t>
    </rPh>
    <phoneticPr fontId="10"/>
  </si>
  <si>
    <t>長期貸付金</t>
  </si>
  <si>
    <t>資本剰余金</t>
    <rPh sb="0" eb="5">
      <t>シホンジョウヨキン</t>
    </rPh>
    <phoneticPr fontId="10"/>
  </si>
  <si>
    <t>　　　６．買掛金の増加（＋）・減少（－）額</t>
    <rPh sb="5" eb="8">
      <t>カイカケキン</t>
    </rPh>
    <rPh sb="9" eb="20">
      <t>ゾウゲン</t>
    </rPh>
    <rPh sb="20" eb="21">
      <t>ガク</t>
    </rPh>
    <phoneticPr fontId="10"/>
  </si>
  <si>
    <t>その他の固定資産</t>
    <phoneticPr fontId="10"/>
  </si>
  <si>
    <t>利益剰余金</t>
    <rPh sb="0" eb="5">
      <t>リエキジョウヨキン</t>
    </rPh>
    <phoneticPr fontId="10"/>
  </si>
  <si>
    <t>　　　７．前受金の増加（＋）・減少（－）額</t>
    <rPh sb="5" eb="7">
      <t>マエウケ</t>
    </rPh>
    <rPh sb="7" eb="8">
      <t>キン</t>
    </rPh>
    <rPh sb="9" eb="20">
      <t>ゾウゲン</t>
    </rPh>
    <rPh sb="20" eb="21">
      <t>ガク</t>
    </rPh>
    <phoneticPr fontId="10"/>
  </si>
  <si>
    <t>貸倒引当金</t>
  </si>
  <si>
    <t>自己株式</t>
    <rPh sb="0" eb="2">
      <t>ジコ</t>
    </rPh>
    <rPh sb="2" eb="4">
      <t>カブシキ</t>
    </rPh>
    <phoneticPr fontId="10"/>
  </si>
  <si>
    <t>　　　８．その他の流動負債の増加（＋）・減少（－）額</t>
    <rPh sb="5" eb="8">
      <t>ソノタ</t>
    </rPh>
    <rPh sb="9" eb="11">
      <t>リュウドウ</t>
    </rPh>
    <rPh sb="11" eb="13">
      <t>フサイ</t>
    </rPh>
    <rPh sb="14" eb="25">
      <t>ゾウゲン</t>
    </rPh>
    <rPh sb="25" eb="26">
      <t>ガク</t>
    </rPh>
    <phoneticPr fontId="10"/>
  </si>
  <si>
    <t>固定資産合計</t>
  </si>
  <si>
    <t>その他</t>
    <rPh sb="2" eb="3">
      <t>タ</t>
    </rPh>
    <phoneticPr fontId="10"/>
  </si>
  <si>
    <t>　　　９．その他の固定負債の増加（＋）・減少（－）額</t>
    <rPh sb="9" eb="11">
      <t>コテイ</t>
    </rPh>
    <rPh sb="25" eb="26">
      <t>ガク</t>
    </rPh>
    <phoneticPr fontId="10"/>
  </si>
  <si>
    <t>総資本回転率</t>
    <rPh sb="0" eb="3">
      <t>ソウシホン</t>
    </rPh>
    <rPh sb="3" eb="5">
      <t>カイテン</t>
    </rPh>
    <rPh sb="5" eb="6">
      <t>リツ</t>
    </rPh>
    <phoneticPr fontId="12"/>
  </si>
  <si>
    <t>繰延資産合計</t>
    <phoneticPr fontId="10"/>
  </si>
  <si>
    <t>純資産合計</t>
    <rPh sb="0" eb="3">
      <t>ジュンシサン</t>
    </rPh>
    <rPh sb="3" eb="5">
      <t>ゴウケイ</t>
    </rPh>
    <phoneticPr fontId="10"/>
  </si>
  <si>
    <t>資産合計</t>
  </si>
  <si>
    <t>負債･純資産合計</t>
    <rPh sb="0" eb="2">
      <t>フサイ</t>
    </rPh>
    <rPh sb="3" eb="6">
      <t>ジュンシサン</t>
    </rPh>
    <rPh sb="6" eb="8">
      <t>ゴウケイ</t>
    </rPh>
    <phoneticPr fontId="10"/>
  </si>
  <si>
    <t>（Ⅰの計）</t>
    <rPh sb="3" eb="4">
      <t>ケイ</t>
    </rPh>
    <phoneticPr fontId="10"/>
  </si>
  <si>
    <t>（注）有利子負債は、短期借入金又は長期借入金に含めて記入します。</t>
    <rPh sb="1" eb="2">
      <t>チュウ</t>
    </rPh>
    <rPh sb="3" eb="4">
      <t>ユウ</t>
    </rPh>
    <rPh sb="4" eb="6">
      <t>リシ</t>
    </rPh>
    <rPh sb="6" eb="8">
      <t>フサイ</t>
    </rPh>
    <rPh sb="10" eb="12">
      <t>タンキ</t>
    </rPh>
    <rPh sb="12" eb="14">
      <t>カリイレ</t>
    </rPh>
    <rPh sb="14" eb="15">
      <t>キン</t>
    </rPh>
    <rPh sb="15" eb="16">
      <t>マタ</t>
    </rPh>
    <rPh sb="17" eb="19">
      <t>チョウキ</t>
    </rPh>
    <rPh sb="19" eb="21">
      <t>カリイレ</t>
    </rPh>
    <rPh sb="21" eb="22">
      <t>キン</t>
    </rPh>
    <rPh sb="23" eb="24">
      <t>フク</t>
    </rPh>
    <rPh sb="26" eb="28">
      <t>キニュウ</t>
    </rPh>
    <phoneticPr fontId="10"/>
  </si>
  <si>
    <t/>
  </si>
  <si>
    <t>←自己資本比率</t>
    <rPh sb="1" eb="3">
      <t>ジコ</t>
    </rPh>
    <rPh sb="3" eb="5">
      <t>シホン</t>
    </rPh>
    <rPh sb="5" eb="7">
      <t>ヒリツ</t>
    </rPh>
    <phoneticPr fontId="12"/>
  </si>
  <si>
    <t>利息の支払額</t>
    <rPh sb="0" eb="2">
      <t>リソク</t>
    </rPh>
    <rPh sb="3" eb="5">
      <t>シハライ</t>
    </rPh>
    <rPh sb="5" eb="6">
      <t>ガク</t>
    </rPh>
    <phoneticPr fontId="12"/>
  </si>
  <si>
    <t>２．損益計算書の入力</t>
    <rPh sb="2" eb="4">
      <t>ソンエキ</t>
    </rPh>
    <rPh sb="4" eb="7">
      <t>ケイサンショ</t>
    </rPh>
    <rPh sb="8" eb="10">
      <t>ニュウリョク</t>
    </rPh>
    <phoneticPr fontId="10"/>
  </si>
  <si>
    <t>前期を1.00とした比①～④</t>
    <rPh sb="0" eb="2">
      <t>ゼンキ</t>
    </rPh>
    <rPh sb="10" eb="11">
      <t>ヒ</t>
    </rPh>
    <phoneticPr fontId="12"/>
  </si>
  <si>
    <t>法人税等の支払額</t>
    <rPh sb="0" eb="3">
      <t>ホウジンゼイ</t>
    </rPh>
    <rPh sb="3" eb="4">
      <t>トウ</t>
    </rPh>
    <rPh sb="5" eb="7">
      <t>シハライ</t>
    </rPh>
    <rPh sb="7" eb="8">
      <t>ガク</t>
    </rPh>
    <phoneticPr fontId="12"/>
  </si>
  <si>
    <t>売上高</t>
    <rPh sb="0" eb="2">
      <t>ウリアゲ</t>
    </rPh>
    <rPh sb="2" eb="3">
      <t>ダカ</t>
    </rPh>
    <phoneticPr fontId="10"/>
  </si>
  <si>
    <t>Ⅱ 投資活動によるキャッシュ・フロー</t>
    <rPh sb="2" eb="6">
      <t>トウシカツドウ</t>
    </rPh>
    <phoneticPr fontId="10"/>
  </si>
  <si>
    <t>売上原価</t>
    <rPh sb="0" eb="2">
      <t>ウリアゲ</t>
    </rPh>
    <rPh sb="2" eb="4">
      <t>ゲンカ</t>
    </rPh>
    <phoneticPr fontId="10"/>
  </si>
  <si>
    <t>　　　１．有価証券の購入（－）・売却（＋）額</t>
    <rPh sb="5" eb="7">
      <t>ユウカ</t>
    </rPh>
    <rPh sb="7" eb="9">
      <t>ショウケン</t>
    </rPh>
    <rPh sb="10" eb="12">
      <t>コウニュウ</t>
    </rPh>
    <rPh sb="16" eb="18">
      <t>バイキャク</t>
    </rPh>
    <rPh sb="21" eb="22">
      <t>ガク</t>
    </rPh>
    <phoneticPr fontId="10"/>
  </si>
  <si>
    <t>売上総利益</t>
    <rPh sb="0" eb="2">
      <t>ウリアゲ</t>
    </rPh>
    <rPh sb="2" eb="5">
      <t>ソウリエキ</t>
    </rPh>
    <phoneticPr fontId="10"/>
  </si>
  <si>
    <t>　　　２．短期貸付金の貸付（－）・回収（＋）額</t>
    <rPh sb="5" eb="7">
      <t>タンキ</t>
    </rPh>
    <rPh sb="7" eb="9">
      <t>カシツケ</t>
    </rPh>
    <rPh sb="9" eb="10">
      <t>キン</t>
    </rPh>
    <rPh sb="11" eb="13">
      <t>カシツケ</t>
    </rPh>
    <rPh sb="17" eb="19">
      <t>カイシュウ</t>
    </rPh>
    <rPh sb="22" eb="23">
      <t>ガク</t>
    </rPh>
    <phoneticPr fontId="10"/>
  </si>
  <si>
    <t>販売費及び一般管理費</t>
    <rPh sb="0" eb="3">
      <t>ハンバイヒ</t>
    </rPh>
    <rPh sb="3" eb="4">
      <t>オヨ</t>
    </rPh>
    <rPh sb="5" eb="7">
      <t>イッパン</t>
    </rPh>
    <rPh sb="7" eb="10">
      <t>カンリヒ</t>
    </rPh>
    <phoneticPr fontId="10"/>
  </si>
  <si>
    <t>　　　３．土地の購入（－）・売却（＋）額</t>
    <rPh sb="5" eb="7">
      <t>トチ</t>
    </rPh>
    <rPh sb="8" eb="10">
      <t>コウニュウ</t>
    </rPh>
    <rPh sb="14" eb="16">
      <t>バイキャク</t>
    </rPh>
    <rPh sb="19" eb="20">
      <t>ガク</t>
    </rPh>
    <phoneticPr fontId="10"/>
  </si>
  <si>
    <t>営業利益</t>
    <rPh sb="0" eb="4">
      <t>エイギョウリエキ</t>
    </rPh>
    <phoneticPr fontId="10"/>
  </si>
  <si>
    <t>　　　４．減価償却資産の増加（－）・減少（＋）額</t>
    <rPh sb="5" eb="7">
      <t>ゲンカ</t>
    </rPh>
    <rPh sb="7" eb="9">
      <t>ショウキャク</t>
    </rPh>
    <rPh sb="9" eb="11">
      <t>シサン</t>
    </rPh>
    <rPh sb="12" eb="14">
      <t>ゾウカ</t>
    </rPh>
    <rPh sb="18" eb="20">
      <t>ゲンショウ</t>
    </rPh>
    <rPh sb="23" eb="24">
      <t>ガク</t>
    </rPh>
    <phoneticPr fontId="10"/>
  </si>
  <si>
    <t>営業外収益</t>
    <rPh sb="0" eb="3">
      <t>エイギョウガイ</t>
    </rPh>
    <rPh sb="3" eb="5">
      <t>シュウエキ</t>
    </rPh>
    <phoneticPr fontId="10"/>
  </si>
  <si>
    <t>　　　５．建設仮勘定の増加（－）・減少（＋）額</t>
    <rPh sb="5" eb="7">
      <t>ケンセツ</t>
    </rPh>
    <rPh sb="7" eb="10">
      <t>カリカンジョウ</t>
    </rPh>
    <rPh sb="11" eb="13">
      <t>ゾウカ</t>
    </rPh>
    <rPh sb="17" eb="19">
      <t>ゲンショウ</t>
    </rPh>
    <rPh sb="22" eb="23">
      <t>ガク</t>
    </rPh>
    <phoneticPr fontId="10"/>
  </si>
  <si>
    <t>営業外費用</t>
    <rPh sb="0" eb="3">
      <t>エイギョウガイ</t>
    </rPh>
    <rPh sb="3" eb="5">
      <t>ヒヨウ</t>
    </rPh>
    <phoneticPr fontId="10"/>
  </si>
  <si>
    <t>　　　６．無形固定資産の増加（－）・減少（＋）額</t>
    <rPh sb="5" eb="7">
      <t>ムケイ</t>
    </rPh>
    <rPh sb="7" eb="9">
      <t>コテイ</t>
    </rPh>
    <rPh sb="9" eb="11">
      <t>シサン</t>
    </rPh>
    <rPh sb="12" eb="14">
      <t>ゾウカ</t>
    </rPh>
    <rPh sb="18" eb="20">
      <t>ゲンショウ</t>
    </rPh>
    <rPh sb="23" eb="24">
      <t>ガク</t>
    </rPh>
    <phoneticPr fontId="10"/>
  </si>
  <si>
    <t>経常利益</t>
    <rPh sb="0" eb="4">
      <t>ケイジョウリエキ</t>
    </rPh>
    <phoneticPr fontId="10"/>
  </si>
  <si>
    <t>　　　７．投資有価証券の購入（－）・売却（＋）額</t>
    <rPh sb="5" eb="7">
      <t>トウシ</t>
    </rPh>
    <rPh sb="7" eb="11">
      <t>ユウカショウケン</t>
    </rPh>
    <rPh sb="12" eb="14">
      <t>コウニュウ</t>
    </rPh>
    <rPh sb="23" eb="24">
      <t>ガク</t>
    </rPh>
    <phoneticPr fontId="10"/>
  </si>
  <si>
    <t>特別利益</t>
    <rPh sb="0" eb="2">
      <t>トクベツ</t>
    </rPh>
    <rPh sb="2" eb="4">
      <t>リエキ</t>
    </rPh>
    <phoneticPr fontId="10"/>
  </si>
  <si>
    <t>　</t>
    <phoneticPr fontId="10"/>
  </si>
  <si>
    <t>　　　８．長期貸付金の貸付（－）・回収（＋）額</t>
    <rPh sb="5" eb="7">
      <t>チョウキ</t>
    </rPh>
    <rPh sb="7" eb="9">
      <t>カシツケ</t>
    </rPh>
    <rPh sb="9" eb="10">
      <t>キン</t>
    </rPh>
    <rPh sb="11" eb="13">
      <t>カシツケ</t>
    </rPh>
    <rPh sb="17" eb="19">
      <t>カイシュウ</t>
    </rPh>
    <rPh sb="22" eb="23">
      <t>ガク</t>
    </rPh>
    <phoneticPr fontId="10"/>
  </si>
  <si>
    <t>特別損失</t>
    <rPh sb="0" eb="2">
      <t>トクベツ</t>
    </rPh>
    <rPh sb="2" eb="4">
      <t>ソンシツ</t>
    </rPh>
    <phoneticPr fontId="10"/>
  </si>
  <si>
    <t>　　　９．その他の固定資産の増加（－）・減少（＋）額</t>
    <rPh sb="9" eb="11">
      <t>コテイ</t>
    </rPh>
    <rPh sb="11" eb="13">
      <t>シサン</t>
    </rPh>
    <rPh sb="25" eb="26">
      <t>ガク</t>
    </rPh>
    <phoneticPr fontId="10"/>
  </si>
  <si>
    <t>税引前当期純利益</t>
    <rPh sb="0" eb="2">
      <t>ゼイヒ</t>
    </rPh>
    <rPh sb="2" eb="3">
      <t>マエ</t>
    </rPh>
    <rPh sb="3" eb="5">
      <t>トウキ</t>
    </rPh>
    <rPh sb="5" eb="6">
      <t>ジュン</t>
    </rPh>
    <rPh sb="6" eb="8">
      <t>リエキ</t>
    </rPh>
    <phoneticPr fontId="10"/>
  </si>
  <si>
    <t>　　</t>
    <phoneticPr fontId="10"/>
  </si>
  <si>
    <t>　　１０．繰延資産の増加（－）・減少（＋）額</t>
    <rPh sb="5" eb="7">
      <t>クリノベ</t>
    </rPh>
    <rPh sb="7" eb="9">
      <t>シサン</t>
    </rPh>
    <rPh sb="21" eb="22">
      <t>ガク</t>
    </rPh>
    <phoneticPr fontId="10"/>
  </si>
  <si>
    <t>法人税、住民税及び事業税</t>
    <rPh sb="0" eb="3">
      <t>ホウジンゼイ</t>
    </rPh>
    <rPh sb="4" eb="7">
      <t>ジュウミンゼイ</t>
    </rPh>
    <rPh sb="7" eb="8">
      <t>オヨ</t>
    </rPh>
    <rPh sb="9" eb="12">
      <t>ジギョウゼイ</t>
    </rPh>
    <phoneticPr fontId="10"/>
  </si>
  <si>
    <t>（Ⅱの計）</t>
    <rPh sb="3" eb="4">
      <t>ケイ</t>
    </rPh>
    <phoneticPr fontId="10"/>
  </si>
  <si>
    <t>当期純利益</t>
    <rPh sb="0" eb="2">
      <t>トウキ</t>
    </rPh>
    <rPh sb="2" eb="3">
      <t>ジュン</t>
    </rPh>
    <rPh sb="3" eb="5">
      <t>リエキ</t>
    </rPh>
    <phoneticPr fontId="10"/>
  </si>
  <si>
    <t>Ⅲ 財務活動によるキャッシュ・フロー</t>
    <rPh sb="2" eb="4">
      <t>ザイム</t>
    </rPh>
    <rPh sb="4" eb="6">
      <t>カツドウ</t>
    </rPh>
    <phoneticPr fontId="10"/>
  </si>
  <si>
    <t>　　　１．短期借入金の増加（＋）・減少（－）額</t>
    <rPh sb="5" eb="10">
      <t>タンキカリイレキン</t>
    </rPh>
    <rPh sb="11" eb="12">
      <t>ゾウゲン</t>
    </rPh>
    <rPh sb="17" eb="19">
      <t>ゲンショウ</t>
    </rPh>
    <rPh sb="22" eb="23">
      <t>ガク</t>
    </rPh>
    <phoneticPr fontId="10"/>
  </si>
  <si>
    <t>３．その他の入力</t>
    <rPh sb="4" eb="5">
      <t>タ</t>
    </rPh>
    <rPh sb="6" eb="8">
      <t>ニュウリョク</t>
    </rPh>
    <phoneticPr fontId="10"/>
  </si>
  <si>
    <t>　　　２．長期借入金の増加（＋）・減少（－）額</t>
    <rPh sb="17" eb="19">
      <t>ゲンショウ</t>
    </rPh>
    <rPh sb="22" eb="23">
      <t>ガク</t>
    </rPh>
    <phoneticPr fontId="10"/>
  </si>
  <si>
    <t>　　　３．社債の増加（＋）・返済（－）額</t>
    <rPh sb="5" eb="7">
      <t>シャサイ</t>
    </rPh>
    <rPh sb="8" eb="10">
      <t>ゾウカ</t>
    </rPh>
    <rPh sb="14" eb="16">
      <t>ヘンサイ</t>
    </rPh>
    <rPh sb="19" eb="20">
      <t>ガク</t>
    </rPh>
    <phoneticPr fontId="10"/>
  </si>
  <si>
    <t>減価償却費</t>
    <rPh sb="0" eb="2">
      <t>ゲンカ</t>
    </rPh>
    <rPh sb="2" eb="4">
      <t>ショウキャク</t>
    </rPh>
    <rPh sb="4" eb="5">
      <t>ヒ</t>
    </rPh>
    <phoneticPr fontId="10"/>
  </si>
  <si>
    <t>　　　４．増資（＋）額</t>
    <rPh sb="5" eb="7">
      <t>ゾウシ</t>
    </rPh>
    <rPh sb="10" eb="11">
      <t>ガク</t>
    </rPh>
    <phoneticPr fontId="10"/>
  </si>
  <si>
    <t>支払利息割引料</t>
    <rPh sb="0" eb="2">
      <t>シハライ</t>
    </rPh>
    <rPh sb="2" eb="4">
      <t>リソク</t>
    </rPh>
    <rPh sb="4" eb="7">
      <t>ワリビキリョウ</t>
    </rPh>
    <phoneticPr fontId="10"/>
  </si>
  <si>
    <t>　　　５．自己株式の取得（－）・処分（＋）額</t>
    <rPh sb="5" eb="7">
      <t>ジコ</t>
    </rPh>
    <rPh sb="7" eb="9">
      <t>カブシキ</t>
    </rPh>
    <rPh sb="10" eb="12">
      <t>シュトク</t>
    </rPh>
    <rPh sb="16" eb="18">
      <t>ショブン</t>
    </rPh>
    <rPh sb="21" eb="22">
      <t>ガク</t>
    </rPh>
    <phoneticPr fontId="10"/>
  </si>
  <si>
    <t>　　　６．剰余金の配当の支払（－）額</t>
    <rPh sb="5" eb="8">
      <t>ジョウヨキン</t>
    </rPh>
    <rPh sb="9" eb="11">
      <t>ハイトウ</t>
    </rPh>
    <rPh sb="12" eb="14">
      <t>シハライ</t>
    </rPh>
    <rPh sb="17" eb="18">
      <t>ガク</t>
    </rPh>
    <phoneticPr fontId="10"/>
  </si>
  <si>
    <t>４．株主資本等変動計算書の入力</t>
    <rPh sb="2" eb="4">
      <t>カブヌシ</t>
    </rPh>
    <rPh sb="4" eb="6">
      <t>シホン</t>
    </rPh>
    <rPh sb="6" eb="7">
      <t>トウ</t>
    </rPh>
    <rPh sb="7" eb="9">
      <t>ヘンドウ</t>
    </rPh>
    <rPh sb="9" eb="12">
      <t>ケイサンショ</t>
    </rPh>
    <rPh sb="13" eb="15">
      <t>ニュウリョク</t>
    </rPh>
    <phoneticPr fontId="10"/>
  </si>
  <si>
    <t>（Ⅲの計）</t>
    <rPh sb="3" eb="4">
      <t>ケイ</t>
    </rPh>
    <phoneticPr fontId="10"/>
  </si>
  <si>
    <t>株主資本</t>
    <rPh sb="0" eb="2">
      <t>カブヌシ</t>
    </rPh>
    <rPh sb="2" eb="4">
      <t>シホン</t>
    </rPh>
    <phoneticPr fontId="10"/>
  </si>
  <si>
    <t>Ⅳ キャッシュの増加・減少額（Ⅰ＋Ⅱ＋Ⅲ）</t>
    <rPh sb="8" eb="10">
      <t>ゾウカ</t>
    </rPh>
    <rPh sb="11" eb="13">
      <t>ゲンショウ</t>
    </rPh>
    <rPh sb="13" eb="14">
      <t>ガク</t>
    </rPh>
    <phoneticPr fontId="10"/>
  </si>
  <si>
    <t>資本剰余金</t>
    <rPh sb="0" eb="2">
      <t>シホン</t>
    </rPh>
    <rPh sb="2" eb="5">
      <t>ジョウヨキン</t>
    </rPh>
    <phoneticPr fontId="10"/>
  </si>
  <si>
    <t>利益剰余金</t>
    <rPh sb="0" eb="2">
      <t>リエキ</t>
    </rPh>
    <rPh sb="2" eb="5">
      <t>ジョウヨキン</t>
    </rPh>
    <phoneticPr fontId="10"/>
  </si>
  <si>
    <t>株主資本合計</t>
    <rPh sb="0" eb="2">
      <t>カブヌシ</t>
    </rPh>
    <rPh sb="2" eb="4">
      <t>シホン</t>
    </rPh>
    <rPh sb="4" eb="6">
      <t>ゴウケイ</t>
    </rPh>
    <phoneticPr fontId="10"/>
  </si>
  <si>
    <t>Ⅴ キャッシュの期首残高</t>
    <rPh sb="8" eb="10">
      <t>キシュ</t>
    </rPh>
    <rPh sb="10" eb="12">
      <t>ザンダカ</t>
    </rPh>
    <phoneticPr fontId="10"/>
  </si>
  <si>
    <t>利益準備金
××積立金</t>
    <rPh sb="0" eb="2">
      <t>リエキ</t>
    </rPh>
    <rPh sb="2" eb="5">
      <t>ジュンビキン</t>
    </rPh>
    <rPh sb="8" eb="10">
      <t>ツミタテ</t>
    </rPh>
    <rPh sb="10" eb="11">
      <t>キン</t>
    </rPh>
    <phoneticPr fontId="10"/>
  </si>
  <si>
    <t>繰越利益剰余金</t>
    <rPh sb="0" eb="2">
      <t>クリコシ</t>
    </rPh>
    <rPh sb="2" eb="4">
      <t>リエキ</t>
    </rPh>
    <rPh sb="4" eb="7">
      <t>ジョウヨキン</t>
    </rPh>
    <phoneticPr fontId="10"/>
  </si>
  <si>
    <t>Ⅵ キャッシュの期末残高（Ⅳ＋Ⅴ）</t>
    <rPh sb="8" eb="10">
      <t>キマツ</t>
    </rPh>
    <rPh sb="10" eb="12">
      <t>ザンダカ</t>
    </rPh>
    <phoneticPr fontId="10"/>
  </si>
  <si>
    <t>前期末残高</t>
    <rPh sb="0" eb="2">
      <t>ゼンキ</t>
    </rPh>
    <rPh sb="2" eb="3">
      <t>マツ</t>
    </rPh>
    <rPh sb="3" eb="5">
      <t>ザンダカ</t>
    </rPh>
    <phoneticPr fontId="10"/>
  </si>
  <si>
    <t>検算（貸借対照表の現金及び預金）</t>
    <rPh sb="0" eb="2">
      <t>ケンザン</t>
    </rPh>
    <rPh sb="3" eb="5">
      <t>タイシャク</t>
    </rPh>
    <rPh sb="5" eb="8">
      <t>タイショウヒョウ</t>
    </rPh>
    <rPh sb="9" eb="11">
      <t>ゲンキン</t>
    </rPh>
    <rPh sb="11" eb="12">
      <t>オヨ</t>
    </rPh>
    <rPh sb="13" eb="15">
      <t>ヨキン</t>
    </rPh>
    <phoneticPr fontId="10"/>
  </si>
  <si>
    <t>当期変動額</t>
    <rPh sb="0" eb="2">
      <t>トウキ</t>
    </rPh>
    <rPh sb="2" eb="4">
      <t>ヘンドウ</t>
    </rPh>
    <rPh sb="4" eb="5">
      <t>ガク</t>
    </rPh>
    <phoneticPr fontId="10"/>
  </si>
  <si>
    <t>目的積立金の積立て</t>
    <rPh sb="0" eb="2">
      <t>モクテキ</t>
    </rPh>
    <rPh sb="2" eb="4">
      <t>ツミタテ</t>
    </rPh>
    <rPh sb="4" eb="5">
      <t>キン</t>
    </rPh>
    <rPh sb="6" eb="8">
      <t>ツミタ</t>
    </rPh>
    <phoneticPr fontId="10"/>
  </si>
  <si>
    <t>別途積立金の積立て</t>
    <rPh sb="0" eb="2">
      <t>ベット</t>
    </rPh>
    <rPh sb="2" eb="4">
      <t>ツミタテ</t>
    </rPh>
    <rPh sb="4" eb="5">
      <t>キン</t>
    </rPh>
    <rPh sb="6" eb="7">
      <t>ツ</t>
    </rPh>
    <rPh sb="7" eb="8">
      <t>タ</t>
    </rPh>
    <phoneticPr fontId="10"/>
  </si>
  <si>
    <t>（注）この欄が０になれば数値入力ＯＫです。</t>
    <rPh sb="1" eb="2">
      <t>チュウ</t>
    </rPh>
    <rPh sb="5" eb="6">
      <t>ラン</t>
    </rPh>
    <rPh sb="12" eb="14">
      <t>スウチ</t>
    </rPh>
    <rPh sb="14" eb="16">
      <t>ニュウリョク</t>
    </rPh>
    <phoneticPr fontId="10"/>
  </si>
  <si>
    <t>剰余金の配当</t>
    <rPh sb="0" eb="3">
      <t>ジョウヨキン</t>
    </rPh>
    <rPh sb="4" eb="6">
      <t>ハイトウ</t>
    </rPh>
    <phoneticPr fontId="10"/>
  </si>
  <si>
    <t>当期純利益</t>
    <rPh sb="0" eb="2">
      <t>トウキ</t>
    </rPh>
    <rPh sb="2" eb="5">
      <t>ジュンリエキ</t>
    </rPh>
    <phoneticPr fontId="10"/>
  </si>
  <si>
    <t>自己株式の取得（又は処分）</t>
    <rPh sb="0" eb="2">
      <t>ジコ</t>
    </rPh>
    <rPh sb="2" eb="4">
      <t>カブシキ</t>
    </rPh>
    <rPh sb="5" eb="7">
      <t>シュトク</t>
    </rPh>
    <rPh sb="8" eb="9">
      <t>マタ</t>
    </rPh>
    <rPh sb="10" eb="12">
      <t>ショブン</t>
    </rPh>
    <phoneticPr fontId="10"/>
  </si>
  <si>
    <t>その他の当期変動額（純額）</t>
    <rPh sb="2" eb="3">
      <t>タ</t>
    </rPh>
    <rPh sb="4" eb="6">
      <t>トウキ</t>
    </rPh>
    <rPh sb="6" eb="8">
      <t>ヘンドウ</t>
    </rPh>
    <rPh sb="8" eb="9">
      <t>ガク</t>
    </rPh>
    <rPh sb="10" eb="11">
      <t>ジュン</t>
    </rPh>
    <rPh sb="11" eb="12">
      <t>ガク</t>
    </rPh>
    <phoneticPr fontId="10"/>
  </si>
  <si>
    <t>当期変動額合計</t>
    <rPh sb="0" eb="2">
      <t>トウキ</t>
    </rPh>
    <rPh sb="2" eb="4">
      <t>ヘンドウ</t>
    </rPh>
    <rPh sb="4" eb="5">
      <t>ガク</t>
    </rPh>
    <rPh sb="5" eb="7">
      <t>ゴウケイ</t>
    </rPh>
    <phoneticPr fontId="10"/>
  </si>
  <si>
    <t>当期末残高</t>
    <rPh sb="0" eb="2">
      <t>トウキ</t>
    </rPh>
    <rPh sb="2" eb="3">
      <t>マツ</t>
    </rPh>
    <rPh sb="3" eb="5">
      <t>ザンダカ</t>
    </rPh>
    <phoneticPr fontId="10"/>
  </si>
  <si>
    <t>試験勉強と考えると一から作ってしまうが、ビジネスと思えばテンプレを拾ってきてそれに埋めれば良い。当問では経営分析で作ったテンプレをコピペし、そこに数値を埋めます。</t>
    <rPh sb="0" eb="2">
      <t>シケン</t>
    </rPh>
    <rPh sb="2" eb="4">
      <t>ベンキョウ</t>
    </rPh>
    <rPh sb="5" eb="6">
      <t>カンガ</t>
    </rPh>
    <rPh sb="9" eb="10">
      <t>イチ</t>
    </rPh>
    <rPh sb="12" eb="13">
      <t>ツク</t>
    </rPh>
    <rPh sb="25" eb="26">
      <t>オモ</t>
    </rPh>
    <rPh sb="33" eb="34">
      <t>ヒロ</t>
    </rPh>
    <rPh sb="41" eb="42">
      <t>ウ</t>
    </rPh>
    <rPh sb="45" eb="46">
      <t>ヨ</t>
    </rPh>
    <rPh sb="48" eb="50">
      <t>トウモン</t>
    </rPh>
    <rPh sb="52" eb="54">
      <t>ケイエイ</t>
    </rPh>
    <rPh sb="54" eb="56">
      <t>ブンセキ</t>
    </rPh>
    <rPh sb="57" eb="58">
      <t>ツク</t>
    </rPh>
    <rPh sb="73" eb="75">
      <t>スウチ</t>
    </rPh>
    <rPh sb="76" eb="77">
      <t>ウ</t>
    </rPh>
    <phoneticPr fontId="2"/>
  </si>
  <si>
    <t>財務CFが30合わないが後回し</t>
    <rPh sb="0" eb="2">
      <t>ザイム</t>
    </rPh>
    <rPh sb="7" eb="8">
      <t>ア</t>
    </rPh>
    <rPh sb="12" eb="14">
      <t>アトマワ</t>
    </rPh>
    <phoneticPr fontId="2"/>
  </si>
  <si>
    <t>ここもテンプレコピペで埋める</t>
    <rPh sb="11" eb="12">
      <t>ウ</t>
    </rPh>
    <phoneticPr fontId="2"/>
  </si>
  <si>
    <t>過去問H23第1問</t>
    <rPh sb="0" eb="3">
      <t>カコモン</t>
    </rPh>
    <rPh sb="6" eb="7">
      <t>ダイ</t>
    </rPh>
    <rPh sb="8" eb="9">
      <t>モン</t>
    </rPh>
    <phoneticPr fontId="2"/>
  </si>
  <si>
    <t>未払法人税等</t>
    <rPh sb="0" eb="2">
      <t>ミハライ</t>
    </rPh>
    <rPh sb="2" eb="6">
      <t>ホウジンゼイトウ</t>
    </rPh>
    <phoneticPr fontId="10"/>
  </si>
  <si>
    <t>利息の受取額</t>
    <rPh sb="0" eb="2">
      <t>リソク</t>
    </rPh>
    <rPh sb="3" eb="6">
      <t>ウケトリガク</t>
    </rPh>
    <phoneticPr fontId="12"/>
  </si>
  <si>
    <t>4業務的意思決定</t>
    <rPh sb="1" eb="4">
      <t>ギョウムテキ</t>
    </rPh>
    <rPh sb="4" eb="8">
      <t>イシケッテイ</t>
    </rPh>
    <phoneticPr fontId="2"/>
  </si>
  <si>
    <t>限界利益</t>
    <rPh sb="0" eb="4">
      <t>ゲンカイリエキ</t>
    </rPh>
    <phoneticPr fontId="2"/>
  </si>
  <si>
    <t xml:space="preserve"> 変動費</t>
    <rPh sb="1" eb="4">
      <t>ヘンドウヒ</t>
    </rPh>
    <phoneticPr fontId="2"/>
  </si>
  <si>
    <t xml:space="preserve"> 個別固定費</t>
    <rPh sb="1" eb="3">
      <t>コベツ</t>
    </rPh>
    <rPh sb="3" eb="6">
      <t>コテイヒ</t>
    </rPh>
    <phoneticPr fontId="2"/>
  </si>
  <si>
    <t>貢献利益</t>
    <rPh sb="0" eb="2">
      <t>コウケン</t>
    </rPh>
    <rPh sb="2" eb="4">
      <t>リエキ</t>
    </rPh>
    <phoneticPr fontId="2"/>
  </si>
  <si>
    <t xml:space="preserve"> 共通固定費配賦額</t>
    <rPh sb="1" eb="3">
      <t>キョウツウ</t>
    </rPh>
    <rPh sb="3" eb="6">
      <t>コテイヒ</t>
    </rPh>
    <rPh sb="6" eb="9">
      <t>ハイフガク</t>
    </rPh>
    <phoneticPr fontId="2"/>
  </si>
  <si>
    <t>営業利益・純利益</t>
    <rPh sb="0" eb="2">
      <t>エイギョウ</t>
    </rPh>
    <rPh sb="2" eb="4">
      <t>リエキ</t>
    </rPh>
    <rPh sb="5" eb="8">
      <t>ジュンリエキ</t>
    </rPh>
    <phoneticPr fontId="2"/>
  </si>
  <si>
    <t>A部門</t>
    <rPh sb="1" eb="3">
      <t>ブモン</t>
    </rPh>
    <phoneticPr fontId="2"/>
  </si>
  <si>
    <t>B部門</t>
    <rPh sb="1" eb="3">
      <t>ブモン</t>
    </rPh>
    <phoneticPr fontId="2"/>
  </si>
  <si>
    <t>C部門</t>
    <rPh sb="1" eb="3">
      <t>ブモン</t>
    </rPh>
    <phoneticPr fontId="2"/>
  </si>
  <si>
    <t>←売上高から変動費を引くと限界利益</t>
    <rPh sb="1" eb="4">
      <t>ウリアゲダカ</t>
    </rPh>
    <rPh sb="6" eb="8">
      <t>ヘンドウ</t>
    </rPh>
    <rPh sb="8" eb="9">
      <t>ヒ</t>
    </rPh>
    <rPh sb="10" eb="11">
      <t>ヒ</t>
    </rPh>
    <rPh sb="13" eb="15">
      <t>ゲンカイ</t>
    </rPh>
    <rPh sb="15" eb="17">
      <t>リエキ</t>
    </rPh>
    <phoneticPr fontId="2"/>
  </si>
  <si>
    <t>←さらに個別固定費を引くと貢献利益に(＝共通的に発生する固定費の回収に貢献する利益)</t>
    <rPh sb="4" eb="6">
      <t>コベツ</t>
    </rPh>
    <rPh sb="6" eb="9">
      <t>コテイヒ</t>
    </rPh>
    <rPh sb="10" eb="11">
      <t>ヒ</t>
    </rPh>
    <rPh sb="13" eb="15">
      <t>コウケン</t>
    </rPh>
    <rPh sb="15" eb="17">
      <t>リエキ</t>
    </rPh>
    <rPh sb="20" eb="23">
      <t>キョウツウテキ</t>
    </rPh>
    <rPh sb="24" eb="26">
      <t>ハッセイ</t>
    </rPh>
    <rPh sb="28" eb="31">
      <t>コテイヒ</t>
    </rPh>
    <rPh sb="32" eb="34">
      <t>カイシュウ</t>
    </rPh>
    <rPh sb="35" eb="37">
      <t>コウケン</t>
    </rPh>
    <rPh sb="39" eb="41">
      <t>リエキ</t>
    </rPh>
    <phoneticPr fontId="2"/>
  </si>
  <si>
    <t>セグメント→段階利益。限界利益・貢献利益の考え方を整理する良問。単に計算ではなく、設問文の言い回しに注意して読む</t>
    <rPh sb="6" eb="8">
      <t>ダンカイ</t>
    </rPh>
    <rPh sb="8" eb="10">
      <t>リエキ</t>
    </rPh>
    <rPh sb="11" eb="15">
      <t>ゲンカイリエキ</t>
    </rPh>
    <rPh sb="16" eb="18">
      <t>コウケン</t>
    </rPh>
    <rPh sb="18" eb="20">
      <t>リエキ</t>
    </rPh>
    <rPh sb="21" eb="22">
      <t>カンガ</t>
    </rPh>
    <rPh sb="23" eb="24">
      <t>カタ</t>
    </rPh>
    <rPh sb="25" eb="27">
      <t>セイリ</t>
    </rPh>
    <rPh sb="29" eb="31">
      <t>リョウモン</t>
    </rPh>
    <rPh sb="32" eb="33">
      <t>タン</t>
    </rPh>
    <rPh sb="34" eb="36">
      <t>ケイサン</t>
    </rPh>
    <rPh sb="41" eb="44">
      <t>セツモンブン</t>
    </rPh>
    <rPh sb="45" eb="46">
      <t>イ</t>
    </rPh>
    <rPh sb="47" eb="48">
      <t>マワ</t>
    </rPh>
    <rPh sb="50" eb="52">
      <t>チュウイ</t>
    </rPh>
    <rPh sb="54" eb="55">
      <t>ヨ</t>
    </rPh>
    <phoneticPr fontId="2"/>
  </si>
  <si>
    <t>セグメント損益→共通固定費の回収に貢献するかの判断</t>
    <rPh sb="5" eb="7">
      <t>ソンエキ</t>
    </rPh>
    <rPh sb="8" eb="10">
      <t>キョウツウ</t>
    </rPh>
    <rPh sb="10" eb="13">
      <t>コテイヒ</t>
    </rPh>
    <rPh sb="14" eb="16">
      <t>カイシュウ</t>
    </rPh>
    <rPh sb="17" eb="19">
      <t>コウケン</t>
    </rPh>
    <rPh sb="23" eb="25">
      <t>ハンダン</t>
    </rPh>
    <phoneticPr fontId="2"/>
  </si>
  <si>
    <t xml:space="preserve"> 材料費</t>
    <rPh sb="1" eb="4">
      <t>ザイリョウヒ</t>
    </rPh>
    <phoneticPr fontId="2"/>
  </si>
  <si>
    <t xml:space="preserve"> 労務費</t>
    <rPh sb="1" eb="4">
      <t>ロウムヒ</t>
    </rPh>
    <phoneticPr fontId="2"/>
  </si>
  <si>
    <t xml:space="preserve"> 減価償却費</t>
    <rPh sb="1" eb="6">
      <t>ゲンカショウキャクヒ</t>
    </rPh>
    <phoneticPr fontId="2"/>
  </si>
  <si>
    <t>貢献利益率</t>
    <rPh sb="0" eb="5">
      <t>コウケンリエキリツ</t>
    </rPh>
    <phoneticPr fontId="2"/>
  </si>
  <si>
    <t>貢献利益が△となるS部門から撤退すべき</t>
    <rPh sb="0" eb="2">
      <t>コウケン</t>
    </rPh>
    <rPh sb="2" eb="4">
      <t>リエキ</t>
    </rPh>
    <rPh sb="10" eb="12">
      <t>ブモン</t>
    </rPh>
    <rPh sb="14" eb="16">
      <t>テッタイ</t>
    </rPh>
    <phoneticPr fontId="2"/>
  </si>
  <si>
    <t>S部門</t>
    <rPh sb="1" eb="3">
      <t>ブモン</t>
    </rPh>
    <phoneticPr fontId="2"/>
  </si>
  <si>
    <t>T部門</t>
    <rPh sb="1" eb="3">
      <t>ブモン</t>
    </rPh>
    <phoneticPr fontId="2"/>
  </si>
  <si>
    <t>U部門</t>
    <rPh sb="1" eb="3">
      <t>ブモン</t>
    </rPh>
    <phoneticPr fontId="2"/>
  </si>
  <si>
    <t>エクセル表は常に同じ形。CVPで使った直接ゲンケーを縦、部門や製品を横に並べる</t>
    <rPh sb="4" eb="5">
      <t>ヒョウ</t>
    </rPh>
    <rPh sb="6" eb="7">
      <t>ツネ</t>
    </rPh>
    <rPh sb="8" eb="9">
      <t>オナ</t>
    </rPh>
    <rPh sb="10" eb="11">
      <t>カタチ</t>
    </rPh>
    <rPh sb="16" eb="17">
      <t>ツカ</t>
    </rPh>
    <rPh sb="19" eb="21">
      <t>チョクセツ</t>
    </rPh>
    <rPh sb="26" eb="27">
      <t>タテ</t>
    </rPh>
    <rPh sb="28" eb="30">
      <t>ブモン</t>
    </rPh>
    <rPh sb="31" eb="33">
      <t>セイヒン</t>
    </rPh>
    <rPh sb="34" eb="35">
      <t>ヨコ</t>
    </rPh>
    <rPh sb="36" eb="37">
      <t>ナラ</t>
    </rPh>
    <phoneticPr fontId="2"/>
  </si>
  <si>
    <t>製品X</t>
    <rPh sb="0" eb="2">
      <t>セイヒン</t>
    </rPh>
    <phoneticPr fontId="2"/>
  </si>
  <si>
    <t>製品Y</t>
    <rPh sb="0" eb="2">
      <t>セイヒン</t>
    </rPh>
    <phoneticPr fontId="2"/>
  </si>
  <si>
    <t>製品Z</t>
    <rPh sb="0" eb="2">
      <t>セイヒン</t>
    </rPh>
    <phoneticPr fontId="2"/>
  </si>
  <si>
    <t>貢献利益が＋であり共通固定費の回収に貢献するため、製品Zは廃止しない</t>
    <rPh sb="0" eb="4">
      <t>コウケンリエキ</t>
    </rPh>
    <rPh sb="9" eb="11">
      <t>キョウツウ</t>
    </rPh>
    <rPh sb="11" eb="14">
      <t>コテイヒ</t>
    </rPh>
    <rPh sb="15" eb="17">
      <t>カイシュウ</t>
    </rPh>
    <rPh sb="18" eb="20">
      <t>コウケン</t>
    </rPh>
    <rPh sb="25" eb="27">
      <t>セイヒン</t>
    </rPh>
    <rPh sb="29" eb="31">
      <t>ハイシ</t>
    </rPh>
    <phoneticPr fontId="2"/>
  </si>
  <si>
    <t>営業レバレッジ</t>
    <rPh sb="0" eb="2">
      <t>エイギョウ</t>
    </rPh>
    <phoneticPr fontId="2"/>
  </si>
  <si>
    <t>X社</t>
    <rPh sb="1" eb="2">
      <t>シャ</t>
    </rPh>
    <phoneticPr fontId="2"/>
  </si>
  <si>
    <t>Y社</t>
    <rPh sb="1" eb="2">
      <t>シャ</t>
    </rPh>
    <phoneticPr fontId="2"/>
  </si>
  <si>
    <t xml:space="preserve"> 固定費</t>
    <rPh sb="1" eb="4">
      <t>コテイヒ</t>
    </rPh>
    <phoneticPr fontId="2"/>
  </si>
  <si>
    <t>=限界利益/営業利益</t>
    <phoneticPr fontId="2"/>
  </si>
  <si>
    <t>・・営業利益に対する固定費のかかり具合を数字で示す。レバレッジ大＝固定費大であるほど、売上増で利益が伸びる(売上減で利益が減る)</t>
    <rPh sb="2" eb="4">
      <t>エイギョウ</t>
    </rPh>
    <rPh sb="4" eb="6">
      <t>リエキ</t>
    </rPh>
    <rPh sb="7" eb="8">
      <t>タイ</t>
    </rPh>
    <rPh sb="10" eb="13">
      <t>コテイヒ</t>
    </rPh>
    <rPh sb="17" eb="19">
      <t>グアイ</t>
    </rPh>
    <rPh sb="20" eb="22">
      <t>スウジ</t>
    </rPh>
    <rPh sb="23" eb="24">
      <t>シメ</t>
    </rPh>
    <rPh sb="31" eb="32">
      <t>ダイ</t>
    </rPh>
    <rPh sb="33" eb="36">
      <t>コテイヒ</t>
    </rPh>
    <rPh sb="36" eb="37">
      <t>ダイ</t>
    </rPh>
    <rPh sb="43" eb="46">
      <t>ウリアゲゾウ</t>
    </rPh>
    <rPh sb="47" eb="49">
      <t>リエキ</t>
    </rPh>
    <rPh sb="50" eb="51">
      <t>ノ</t>
    </rPh>
    <rPh sb="54" eb="57">
      <t>ウリアゲゲン</t>
    </rPh>
    <rPh sb="58" eb="60">
      <t>リエキ</t>
    </rPh>
    <rPh sb="61" eb="62">
      <t>ヘ</t>
    </rPh>
    <phoneticPr fontId="2"/>
  </si>
  <si>
    <t>※売上原価</t>
    <rPh sb="1" eb="5">
      <t>ウリアゲゲンカ</t>
    </rPh>
    <phoneticPr fontId="2"/>
  </si>
  <si>
    <t>※販管費</t>
    <rPh sb="1" eb="4">
      <t>ハンカンヒ</t>
    </rPh>
    <phoneticPr fontId="2"/>
  </si>
  <si>
    <t>売上高2,400、営業利益100は同じであるが営業レバレッジが14.4と高く、売上増による利益増加額が大きい</t>
    <rPh sb="0" eb="3">
      <t>ウリアゲダカ</t>
    </rPh>
    <rPh sb="9" eb="13">
      <t>エイギョウリエキ</t>
    </rPh>
    <rPh sb="17" eb="18">
      <t>オナ</t>
    </rPh>
    <rPh sb="23" eb="25">
      <t>エイギョウ</t>
    </rPh>
    <rPh sb="36" eb="37">
      <t>タカ</t>
    </rPh>
    <rPh sb="39" eb="42">
      <t>ウリアゲゾウ</t>
    </rPh>
    <rPh sb="45" eb="47">
      <t>リエキ</t>
    </rPh>
    <rPh sb="47" eb="50">
      <t>ゾウカガク</t>
    </rPh>
    <rPh sb="51" eb="52">
      <t>オオ</t>
    </rPh>
    <phoneticPr fontId="2"/>
  </si>
  <si>
    <t>※売上増が難しければ固定費を減らすと良い</t>
    <rPh sb="1" eb="4">
      <t>ウリアゲゾウ</t>
    </rPh>
    <rPh sb="5" eb="6">
      <t>ムズカ</t>
    </rPh>
    <rPh sb="10" eb="13">
      <t>コテイヒ</t>
    </rPh>
    <rPh sb="14" eb="15">
      <t>ヘ</t>
    </rPh>
    <rPh sb="18" eb="19">
      <t>ヨ</t>
    </rPh>
    <phoneticPr fontId="2"/>
  </si>
  <si>
    <t>セールスミックス</t>
    <phoneticPr fontId="2"/>
  </si>
  <si>
    <t>製品A</t>
    <rPh sb="0" eb="2">
      <t>セイヒン</t>
    </rPh>
    <phoneticPr fontId="2"/>
  </si>
  <si>
    <t>製品B</t>
    <rPh sb="0" eb="2">
      <t>セイヒン</t>
    </rPh>
    <phoneticPr fontId="2"/>
  </si>
  <si>
    <t>製品C</t>
    <rPh sb="0" eb="2">
      <t>セイヒン</t>
    </rPh>
    <phoneticPr fontId="2"/>
  </si>
  <si>
    <t>販売価格</t>
    <rPh sb="0" eb="2">
      <t>ハンバイ</t>
    </rPh>
    <rPh sb="2" eb="4">
      <t>カカク</t>
    </rPh>
    <phoneticPr fontId="2"/>
  </si>
  <si>
    <t>単位あたり変動費</t>
    <rPh sb="0" eb="2">
      <t>タンイ</t>
    </rPh>
    <rPh sb="5" eb="8">
      <t>ヘンドウヒ</t>
    </rPh>
    <phoneticPr fontId="2"/>
  </si>
  <si>
    <t>〃設備稼働時間</t>
    <rPh sb="1" eb="3">
      <t>セツビ</t>
    </rPh>
    <rPh sb="3" eb="5">
      <t>カドウ</t>
    </rPh>
    <rPh sb="5" eb="7">
      <t>ジカン</t>
    </rPh>
    <phoneticPr fontId="2"/>
  </si>
  <si>
    <t>最大可能販売数量</t>
    <rPh sb="0" eb="2">
      <t>サイダイ</t>
    </rPh>
    <rPh sb="2" eb="4">
      <t>カノウ</t>
    </rPh>
    <rPh sb="4" eb="6">
      <t>ハンバイ</t>
    </rPh>
    <rPh sb="6" eb="8">
      <t>スウリョウ</t>
    </rPh>
    <phoneticPr fontId="2"/>
  </si>
  <si>
    <t>設備時間あたり限利</t>
    <rPh sb="0" eb="2">
      <t>セツビ</t>
    </rPh>
    <rPh sb="2" eb="4">
      <t>ジカン</t>
    </rPh>
    <rPh sb="7" eb="9">
      <t>ゲンリ</t>
    </rPh>
    <phoneticPr fontId="2"/>
  </si>
  <si>
    <t>←制約条件1</t>
    <rPh sb="1" eb="3">
      <t>セイヤク</t>
    </rPh>
    <rPh sb="3" eb="5">
      <t>ジョウケン</t>
    </rPh>
    <phoneticPr fontId="2"/>
  </si>
  <si>
    <t>←制約条件2</t>
    <rPh sb="1" eb="3">
      <t>セイヤク</t>
    </rPh>
    <rPh sb="3" eb="5">
      <t>ジョウケン</t>
    </rPh>
    <phoneticPr fontId="2"/>
  </si>
  <si>
    <t>セールスミックスの考え方：制約条件あたり限界利益のものを最大限につくり、残り時間であまりを作る</t>
    <rPh sb="9" eb="10">
      <t>カンガ</t>
    </rPh>
    <rPh sb="11" eb="12">
      <t>カタ</t>
    </rPh>
    <rPh sb="13" eb="15">
      <t>セイヤク</t>
    </rPh>
    <rPh sb="15" eb="17">
      <t>ジョウケン</t>
    </rPh>
    <rPh sb="20" eb="22">
      <t>ゲンカイ</t>
    </rPh>
    <rPh sb="22" eb="24">
      <t>リエキ</t>
    </rPh>
    <rPh sb="28" eb="31">
      <t>サイダイゲン</t>
    </rPh>
    <rPh sb="36" eb="37">
      <t>ノコ</t>
    </rPh>
    <rPh sb="38" eb="40">
      <t>ジカン</t>
    </rPh>
    <rPh sb="45" eb="46">
      <t>ツク</t>
    </rPh>
    <phoneticPr fontId="2"/>
  </si>
  <si>
    <t>生産個数</t>
    <rPh sb="0" eb="2">
      <t>セイサン</t>
    </rPh>
    <rPh sb="2" eb="4">
      <t>コスウ</t>
    </rPh>
    <phoneticPr fontId="2"/>
  </si>
  <si>
    <t>設備使用時間</t>
    <rPh sb="0" eb="2">
      <t>セツビ</t>
    </rPh>
    <rPh sb="2" eb="6">
      <t>シヨウジカン</t>
    </rPh>
    <phoneticPr fontId="2"/>
  </si>
  <si>
    <t>内外製区分</t>
    <rPh sb="0" eb="2">
      <t>ナイガイ</t>
    </rPh>
    <rPh sb="2" eb="3">
      <t>セイ</t>
    </rPh>
    <rPh sb="3" eb="5">
      <t>クブン</t>
    </rPh>
    <phoneticPr fontId="2"/>
  </si>
  <si>
    <t>←ここから業務的意思決定の各論点に進むが、1論点あたり1問しかなく、これでは不足。</t>
    <rPh sb="5" eb="8">
      <t>ギョウムテキ</t>
    </rPh>
    <rPh sb="8" eb="10">
      <t>イシ</t>
    </rPh>
    <rPh sb="10" eb="12">
      <t>ケッテイ</t>
    </rPh>
    <rPh sb="13" eb="14">
      <t>カク</t>
    </rPh>
    <rPh sb="14" eb="16">
      <t>ロンテン</t>
    </rPh>
    <rPh sb="17" eb="18">
      <t>スス</t>
    </rPh>
    <rPh sb="22" eb="24">
      <t>ロンテン</t>
    </rPh>
    <rPh sb="28" eb="29">
      <t>モン</t>
    </rPh>
    <rPh sb="38" eb="40">
      <t>フソク</t>
    </rPh>
    <phoneticPr fontId="2"/>
  </si>
  <si>
    <t>内製</t>
    <rPh sb="0" eb="2">
      <t>ナイセイ</t>
    </rPh>
    <phoneticPr fontId="2"/>
  </si>
  <si>
    <t>外部調達</t>
    <rPh sb="0" eb="2">
      <t>ガイブ</t>
    </rPh>
    <rPh sb="2" eb="4">
      <t>チョウタツ</t>
    </rPh>
    <phoneticPr fontId="2"/>
  </si>
  <si>
    <t>←△900削減</t>
    <rPh sb="5" eb="7">
      <t>サクゲン</t>
    </rPh>
    <phoneticPr fontId="2"/>
  </si>
  <si>
    <t>自製(内製)が600千円有利</t>
    <rPh sb="0" eb="2">
      <t>ジセイ</t>
    </rPh>
    <rPh sb="3" eb="5">
      <t>ナイセイ</t>
    </rPh>
    <rPh sb="10" eb="12">
      <t>センエン</t>
    </rPh>
    <rPh sb="12" eb="14">
      <t>ユウリ</t>
    </rPh>
    <phoneticPr fontId="2"/>
  </si>
  <si>
    <t>第8問</t>
    <rPh sb="0" eb="1">
      <t>ダイ</t>
    </rPh>
    <rPh sb="2" eb="3">
      <t>モン</t>
    </rPh>
    <phoneticPr fontId="2"/>
  </si>
  <si>
    <t>特別注文</t>
    <rPh sb="0" eb="2">
      <t>トクベツ</t>
    </rPh>
    <rPh sb="2" eb="4">
      <t>チュウモン</t>
    </rPh>
    <phoneticPr fontId="2"/>
  </si>
  <si>
    <t>・・安く売りますよ？ が内外製。安くすれば買うぜ？が特別注文</t>
    <rPh sb="2" eb="3">
      <t>ヤス</t>
    </rPh>
    <rPh sb="4" eb="5">
      <t>ウ</t>
    </rPh>
    <rPh sb="12" eb="14">
      <t>ナイガイ</t>
    </rPh>
    <rPh sb="14" eb="15">
      <t>セイ</t>
    </rPh>
    <rPh sb="16" eb="17">
      <t>ヤス</t>
    </rPh>
    <rPh sb="21" eb="22">
      <t>カ</t>
    </rPh>
    <rPh sb="26" eb="28">
      <t>トクベツ</t>
    </rPh>
    <rPh sb="28" eb="30">
      <t>チュウモン</t>
    </rPh>
    <phoneticPr fontId="2"/>
  </si>
  <si>
    <t>売上</t>
    <rPh sb="0" eb="2">
      <t>ウリアゲ</t>
    </rPh>
    <phoneticPr fontId="2"/>
  </si>
  <si>
    <t>余剰生産力があり限界利益プラスとなるため、特別注文を引き受ける</t>
    <rPh sb="0" eb="2">
      <t>ヨジョウ</t>
    </rPh>
    <rPh sb="2" eb="5">
      <t>セイサンリョク</t>
    </rPh>
    <rPh sb="8" eb="10">
      <t>ゲンカイ</t>
    </rPh>
    <rPh sb="10" eb="12">
      <t>リエキ</t>
    </rPh>
    <rPh sb="21" eb="25">
      <t>トクベツチュウモン</t>
    </rPh>
    <rPh sb="26" eb="27">
      <t>ヒ</t>
    </rPh>
    <rPh sb="28" eb="29">
      <t>ウ</t>
    </rPh>
    <phoneticPr fontId="2"/>
  </si>
  <si>
    <t>差額原価</t>
    <rPh sb="0" eb="2">
      <t>サガク</t>
    </rPh>
    <rPh sb="2" eb="4">
      <t>ゲンカ</t>
    </rPh>
    <phoneticPr fontId="2"/>
  </si>
  <si>
    <t>・・通常品減産分の限界利益△額</t>
    <rPh sb="2" eb="5">
      <t>ツウジョウヒン</t>
    </rPh>
    <rPh sb="5" eb="7">
      <t>ゲンサン</t>
    </rPh>
    <rPh sb="7" eb="8">
      <t>ブン</t>
    </rPh>
    <rPh sb="9" eb="13">
      <t>ゲンカイリエキ</t>
    </rPh>
    <rPh sb="14" eb="15">
      <t>ガク</t>
    </rPh>
    <phoneticPr fontId="2"/>
  </si>
  <si>
    <t>余剰生産力はあるが通常品減産により限界利益マイナスになるため、特別注文を引き受けない</t>
    <rPh sb="0" eb="2">
      <t>ヨジョウ</t>
    </rPh>
    <rPh sb="2" eb="5">
      <t>セイサンリョク</t>
    </rPh>
    <rPh sb="9" eb="11">
      <t>ツウジョウ</t>
    </rPh>
    <rPh sb="11" eb="12">
      <t>ヒン</t>
    </rPh>
    <rPh sb="12" eb="14">
      <t>ゲンサン</t>
    </rPh>
    <rPh sb="17" eb="19">
      <t>ゲンカイ</t>
    </rPh>
    <rPh sb="19" eb="21">
      <t>リエキ</t>
    </rPh>
    <rPh sb="31" eb="35">
      <t>トクベツチュウモン</t>
    </rPh>
    <rPh sb="36" eb="37">
      <t>ヒ</t>
    </rPh>
    <rPh sb="38" eb="39">
      <t>ウ</t>
    </rPh>
    <phoneticPr fontId="2"/>
  </si>
  <si>
    <t>(設問3)</t>
    <rPh sb="1" eb="3">
      <t>セツモン</t>
    </rPh>
    <phoneticPr fontId="2"/>
  </si>
  <si>
    <t>・・値引き分の利益減</t>
    <rPh sb="2" eb="4">
      <t>ネビ</t>
    </rPh>
    <rPh sb="5" eb="6">
      <t>ブン</t>
    </rPh>
    <rPh sb="7" eb="9">
      <t>リエキ</t>
    </rPh>
    <rPh sb="9" eb="10">
      <t>ゲン</t>
    </rPh>
    <phoneticPr fontId="2"/>
  </si>
  <si>
    <t>余剰生産力はあるが通常品値引きにより限界利益マイナスになるため、特別注文を引き受けない</t>
    <rPh sb="0" eb="2">
      <t>ヨジョウ</t>
    </rPh>
    <rPh sb="2" eb="5">
      <t>セイサンリョク</t>
    </rPh>
    <rPh sb="9" eb="11">
      <t>ツウジョウ</t>
    </rPh>
    <rPh sb="11" eb="12">
      <t>ヒン</t>
    </rPh>
    <rPh sb="12" eb="14">
      <t>ネビ</t>
    </rPh>
    <rPh sb="18" eb="20">
      <t>ゲンカイ</t>
    </rPh>
    <rPh sb="20" eb="22">
      <t>リエキ</t>
    </rPh>
    <rPh sb="32" eb="36">
      <t>トクベツチュウモン</t>
    </rPh>
    <rPh sb="37" eb="38">
      <t>ヒ</t>
    </rPh>
    <rPh sb="39" eb="40">
      <t>ウ</t>
    </rPh>
    <phoneticPr fontId="2"/>
  </si>
  <si>
    <t>【応用問題】</t>
    <rPh sb="1" eb="5">
      <t>オウヨウモンダイ</t>
    </rPh>
    <phoneticPr fontId="2"/>
  </si>
  <si>
    <t>R</t>
    <phoneticPr fontId="2"/>
  </si>
  <si>
    <t>S</t>
    <phoneticPr fontId="2"/>
  </si>
  <si>
    <t>T</t>
    <phoneticPr fontId="2"/>
  </si>
  <si>
    <t>U</t>
    <phoneticPr fontId="2"/>
  </si>
  <si>
    <t>機械加工時間</t>
    <rPh sb="0" eb="6">
      <t>キカイカコウジカン</t>
    </rPh>
    <phoneticPr fontId="2"/>
  </si>
  <si>
    <t>最低販売量</t>
    <rPh sb="0" eb="2">
      <t>サイテイ</t>
    </rPh>
    <rPh sb="2" eb="5">
      <t>ハンバイリョウ</t>
    </rPh>
    <phoneticPr fontId="2"/>
  </si>
  <si>
    <t>最大販売量</t>
    <rPh sb="0" eb="2">
      <t>サイダイ</t>
    </rPh>
    <rPh sb="2" eb="5">
      <t>ハンバイリョウ</t>
    </rPh>
    <phoneticPr fontId="2"/>
  </si>
  <si>
    <t>限界利益率</t>
    <rPh sb="0" eb="2">
      <t>ゲンカイ</t>
    </rPh>
    <rPh sb="2" eb="5">
      <t>リエキリツ</t>
    </rPh>
    <phoneticPr fontId="2"/>
  </si>
  <si>
    <t>単位あたり限界利益</t>
    <rPh sb="0" eb="2">
      <t>タンイ</t>
    </rPh>
    <rPh sb="5" eb="7">
      <t>ゲンカイ</t>
    </rPh>
    <rPh sb="7" eb="9">
      <t>リエキ</t>
    </rPh>
    <phoneticPr fontId="2"/>
  </si>
  <si>
    <t>優先順位</t>
    <rPh sb="0" eb="2">
      <t>ユウセン</t>
    </rPh>
    <rPh sb="2" eb="4">
      <t>ジュンイ</t>
    </rPh>
    <phoneticPr fontId="2"/>
  </si>
  <si>
    <t>生産量</t>
    <rPh sb="0" eb="3">
      <t>セイサンリョウ</t>
    </rPh>
    <phoneticPr fontId="2"/>
  </si>
  <si>
    <t>加工時間</t>
    <rPh sb="0" eb="4">
      <t>カコウジカン</t>
    </rPh>
    <phoneticPr fontId="2"/>
  </si>
  <si>
    <t>←T、Uを最大、Sを最小作り、残り時間でRを作る</t>
    <rPh sb="5" eb="7">
      <t>サイダイ</t>
    </rPh>
    <rPh sb="10" eb="12">
      <t>サイショウ</t>
    </rPh>
    <rPh sb="12" eb="13">
      <t>ツク</t>
    </rPh>
    <rPh sb="15" eb="16">
      <t>ノコ</t>
    </rPh>
    <rPh sb="17" eb="19">
      <t>ジカン</t>
    </rPh>
    <rPh sb="22" eb="23">
      <t>ツク</t>
    </rPh>
    <phoneticPr fontId="2"/>
  </si>
  <si>
    <t>簿記2級をやった方なら、最初に標準原価カードを描くのが鉄則。次に諸条件をエクセル上で考慮する。</t>
    <rPh sb="0" eb="2">
      <t>ボキ</t>
    </rPh>
    <rPh sb="3" eb="4">
      <t>キュウ</t>
    </rPh>
    <rPh sb="8" eb="9">
      <t>カタ</t>
    </rPh>
    <rPh sb="12" eb="14">
      <t>サイショ</t>
    </rPh>
    <rPh sb="15" eb="17">
      <t>ヒョウジュン</t>
    </rPh>
    <rPh sb="17" eb="19">
      <t>ゲンカ</t>
    </rPh>
    <rPh sb="23" eb="24">
      <t>カ</t>
    </rPh>
    <rPh sb="27" eb="29">
      <t>テッソク</t>
    </rPh>
    <rPh sb="30" eb="31">
      <t>ツギ</t>
    </rPh>
    <rPh sb="32" eb="35">
      <t>ショジョウケン</t>
    </rPh>
    <rPh sb="40" eb="41">
      <t>ジョウ</t>
    </rPh>
    <rPh sb="42" eb="44">
      <t>コウリョ</t>
    </rPh>
    <phoneticPr fontId="2"/>
  </si>
  <si>
    <t>直接材料費</t>
    <rPh sb="0" eb="5">
      <t>チョクセツザイリョウヒ</t>
    </rPh>
    <phoneticPr fontId="2"/>
  </si>
  <si>
    <t>直接労務費</t>
    <rPh sb="0" eb="5">
      <t>チョクセツロウムヒ</t>
    </rPh>
    <phoneticPr fontId="2"/>
  </si>
  <si>
    <t>製造間接費</t>
    <rPh sb="0" eb="2">
      <t>セイゾウ</t>
    </rPh>
    <rPh sb="2" eb="5">
      <t>カンセツヒ</t>
    </rPh>
    <phoneticPr fontId="2"/>
  </si>
  <si>
    <t>追加加工＋特別注文</t>
    <rPh sb="0" eb="4">
      <t>ツイカカコウ</t>
    </rPh>
    <rPh sb="5" eb="7">
      <t>トクベツ</t>
    </rPh>
    <rPh sb="7" eb="9">
      <t>チュウモン</t>
    </rPh>
    <phoneticPr fontId="2"/>
  </si>
  <si>
    <t>製品X’</t>
    <rPh sb="0" eb="2">
      <t>セイヒン</t>
    </rPh>
    <phoneticPr fontId="2"/>
  </si>
  <si>
    <t>+200h分の割増</t>
    <rPh sb="5" eb="6">
      <t>ブン</t>
    </rPh>
    <rPh sb="7" eb="9">
      <t>ワリマシ</t>
    </rPh>
    <phoneticPr fontId="2"/>
  </si>
  <si>
    <t>特別注文による差額収益</t>
    <rPh sb="0" eb="4">
      <t>トクベツチュウモン</t>
    </rPh>
    <rPh sb="7" eb="9">
      <t>サガク</t>
    </rPh>
    <rPh sb="9" eb="11">
      <t>シュウエキ</t>
    </rPh>
    <phoneticPr fontId="2"/>
  </si>
  <si>
    <t>残業割増</t>
    <rPh sb="0" eb="2">
      <t>ザンギョウ</t>
    </rPh>
    <rPh sb="2" eb="4">
      <t>ワリマシ</t>
    </rPh>
    <phoneticPr fontId="2"/>
  </si>
  <si>
    <t>差額収益</t>
    <rPh sb="0" eb="4">
      <t>サガクシュウエキ</t>
    </rPh>
    <phoneticPr fontId="2"/>
  </si>
  <si>
    <t>差額収益がプラスになるため、特別注文を引き受ける</t>
    <rPh sb="0" eb="4">
      <t>サガクシュウエキ</t>
    </rPh>
    <rPh sb="14" eb="18">
      <t>トクベツチュウモン</t>
    </rPh>
    <rPh sb="19" eb="20">
      <t>ヒ</t>
    </rPh>
    <rPh sb="21" eb="22">
      <t>ウ</t>
    </rPh>
    <phoneticPr fontId="2"/>
  </si>
  <si>
    <t>過去問H26第3問</t>
    <rPh sb="0" eb="3">
      <t>カコモン</t>
    </rPh>
    <rPh sb="6" eb="7">
      <t>ダイ</t>
    </rPh>
    <rPh sb="8" eb="9">
      <t>モン</t>
    </rPh>
    <phoneticPr fontId="2"/>
  </si>
  <si>
    <t>過去問エクセルからコピペ</t>
    <rPh sb="0" eb="3">
      <t>カコモン</t>
    </rPh>
    <phoneticPr fontId="2"/>
  </si>
  <si>
    <t>資料の整理</t>
    <rPh sb="0" eb="2">
      <t>シリョウ</t>
    </rPh>
    <rPh sb="3" eb="5">
      <t>セイリ</t>
    </rPh>
    <phoneticPr fontId="2"/>
  </si>
  <si>
    <t>X</t>
    <phoneticPr fontId="2"/>
  </si>
  <si>
    <t>Y</t>
    <phoneticPr fontId="2"/>
  </si>
  <si>
    <t>Z</t>
    <phoneticPr fontId="2"/>
  </si>
  <si>
    <t>変動費単価</t>
    <rPh sb="0" eb="2">
      <t>ヘンドウ</t>
    </rPh>
    <rPh sb="2" eb="3">
      <t>ヒ</t>
    </rPh>
    <rPh sb="3" eb="5">
      <t>タンカ</t>
    </rPh>
    <phoneticPr fontId="2"/>
  </si>
  <si>
    <t>限界利益単価</t>
    <rPh sb="0" eb="2">
      <t>ゲンカイ</t>
    </rPh>
    <rPh sb="2" eb="4">
      <t>リエキ</t>
    </rPh>
    <rPh sb="4" eb="6">
      <t>タンカ</t>
    </rPh>
    <phoneticPr fontId="2"/>
  </si>
  <si>
    <t>限界利益率</t>
    <rPh sb="0" eb="2">
      <t>ゲンカイ</t>
    </rPh>
    <rPh sb="2" eb="4">
      <t>リエキ</t>
    </rPh>
    <rPh sb="4" eb="5">
      <t>リツ</t>
    </rPh>
    <phoneticPr fontId="2"/>
  </si>
  <si>
    <t>直接作業時間</t>
    <rPh sb="0" eb="2">
      <t>チョクセツ</t>
    </rPh>
    <rPh sb="2" eb="4">
      <t>サギョウ</t>
    </rPh>
    <rPh sb="4" eb="6">
      <t>ジカン</t>
    </rPh>
    <phoneticPr fontId="2"/>
  </si>
  <si>
    <t>時間あたり限界利益</t>
    <rPh sb="0" eb="2">
      <t>ジカン</t>
    </rPh>
    <rPh sb="5" eb="7">
      <t>ゲンカイ</t>
    </rPh>
    <rPh sb="7" eb="9">
      <t>リエキ</t>
    </rPh>
    <phoneticPr fontId="2"/>
  </si>
  <si>
    <t>需要予測</t>
    <rPh sb="0" eb="2">
      <t>ジュヨウ</t>
    </rPh>
    <rPh sb="2" eb="4">
      <t>ヨソク</t>
    </rPh>
    <phoneticPr fontId="2"/>
  </si>
  <si>
    <t>作る優先順位</t>
    <rPh sb="0" eb="1">
      <t>ツク</t>
    </rPh>
    <rPh sb="2" eb="4">
      <t>ユウセン</t>
    </rPh>
    <rPh sb="4" eb="6">
      <t>ジュンイ</t>
    </rPh>
    <phoneticPr fontId="2"/>
  </si>
  <si>
    <t>営業利益を最大化する生産量</t>
    <rPh sb="0" eb="2">
      <t>エイギョウ</t>
    </rPh>
    <rPh sb="2" eb="4">
      <t>リエキ</t>
    </rPh>
    <rPh sb="5" eb="8">
      <t>サイダイカ</t>
    </rPh>
    <rPh sb="10" eb="12">
      <t>セイサン</t>
    </rPh>
    <rPh sb="12" eb="13">
      <t>リョウ</t>
    </rPh>
    <phoneticPr fontId="2"/>
  </si>
  <si>
    <t>←通常はここが答え。ただ当問では、貢献利益マイナス＝個別固定費を回避可能と考え、Zの生産量＝0と考えて進める。※Z＝4,000で部分点はある。</t>
    <rPh sb="1" eb="3">
      <t>ツウジョウ</t>
    </rPh>
    <rPh sb="7" eb="8">
      <t>コタ</t>
    </rPh>
    <rPh sb="12" eb="13">
      <t>トウ</t>
    </rPh>
    <rPh sb="13" eb="14">
      <t>モン</t>
    </rPh>
    <rPh sb="17" eb="19">
      <t>コウケン</t>
    </rPh>
    <rPh sb="19" eb="21">
      <t>リエキ</t>
    </rPh>
    <rPh sb="26" eb="28">
      <t>コベツ</t>
    </rPh>
    <rPh sb="28" eb="31">
      <t>コテイヒ</t>
    </rPh>
    <rPh sb="32" eb="34">
      <t>カイヒ</t>
    </rPh>
    <rPh sb="34" eb="36">
      <t>カノウ</t>
    </rPh>
    <rPh sb="37" eb="38">
      <t>カンガ</t>
    </rPh>
    <rPh sb="42" eb="44">
      <t>セイサン</t>
    </rPh>
    <rPh sb="44" eb="45">
      <t>リョウ</t>
    </rPh>
    <rPh sb="48" eb="49">
      <t>カンガ</t>
    </rPh>
    <rPh sb="51" eb="52">
      <t>スス</t>
    </rPh>
    <rPh sb="64" eb="66">
      <t>ブブン</t>
    </rPh>
    <rPh sb="66" eb="67">
      <t>テン</t>
    </rPh>
    <phoneticPr fontId="2"/>
  </si>
  <si>
    <t>所要直接作業時間</t>
    <rPh sb="0" eb="2">
      <t>ショヨウ</t>
    </rPh>
    <rPh sb="2" eb="4">
      <t>チョクセツ</t>
    </rPh>
    <rPh sb="4" eb="6">
      <t>サギョウ</t>
    </rPh>
    <rPh sb="6" eb="8">
      <t>ジカン</t>
    </rPh>
    <phoneticPr fontId="2"/>
  </si>
  <si>
    <t>個別固定費</t>
    <rPh sb="0" eb="2">
      <t>コベツ</t>
    </rPh>
    <rPh sb="2" eb="5">
      <t>コテイヒ</t>
    </rPh>
    <phoneticPr fontId="2"/>
  </si>
  <si>
    <t>共通固定費</t>
    <rPh sb="0" eb="2">
      <t>キョウツウ</t>
    </rPh>
    <rPh sb="2" eb="5">
      <t>コテイヒ</t>
    </rPh>
    <phoneticPr fontId="2"/>
  </si>
  <si>
    <t>新需要予測</t>
    <rPh sb="0" eb="1">
      <t>シン</t>
    </rPh>
    <rPh sb="1" eb="3">
      <t>ジュヨウ</t>
    </rPh>
    <rPh sb="3" eb="5">
      <t>ヨソク</t>
    </rPh>
    <phoneticPr fontId="2"/>
  </si>
  <si>
    <t>←今後は、製品Yが貢献利益赤字になるので生産しない。。</t>
    <rPh sb="1" eb="3">
      <t>コンゴ</t>
    </rPh>
    <rPh sb="5" eb="7">
      <t>セイヒン</t>
    </rPh>
    <rPh sb="9" eb="11">
      <t>コウケン</t>
    </rPh>
    <rPh sb="11" eb="13">
      <t>リエキ</t>
    </rPh>
    <rPh sb="13" eb="15">
      <t>アカジ</t>
    </rPh>
    <rPh sb="20" eb="22">
      <t>セイサン</t>
    </rPh>
    <phoneticPr fontId="2"/>
  </si>
  <si>
    <t>固定費増加額</t>
    <rPh sb="0" eb="3">
      <t>コテイヒ</t>
    </rPh>
    <rPh sb="3" eb="5">
      <t>ゾウカ</t>
    </rPh>
    <rPh sb="5" eb="6">
      <t>ガク</t>
    </rPh>
    <phoneticPr fontId="2"/>
  </si>
  <si>
    <t>(設問2)⇔(3)の営業利益を比較すると、(3)の営業利益の方が低いため、</t>
    <rPh sb="1" eb="3">
      <t>セツモン</t>
    </rPh>
    <rPh sb="10" eb="12">
      <t>エイギョウ</t>
    </rPh>
    <rPh sb="12" eb="14">
      <t>リエキ</t>
    </rPh>
    <rPh sb="15" eb="17">
      <t>ヒカク</t>
    </rPh>
    <rPh sb="25" eb="27">
      <t>エイギョウ</t>
    </rPh>
    <rPh sb="27" eb="29">
      <t>リエキ</t>
    </rPh>
    <rPh sb="30" eb="31">
      <t>ホウ</t>
    </rPh>
    <rPh sb="32" eb="33">
      <t>ヒク</t>
    </rPh>
    <phoneticPr fontId="2"/>
  </si>
  <si>
    <t>(3)の提案は採用しない。</t>
    <rPh sb="4" eb="6">
      <t>テイアン</t>
    </rPh>
    <rPh sb="7" eb="9">
      <t>サイヨウ</t>
    </rPh>
    <phoneticPr fontId="2"/>
  </si>
  <si>
    <t>テーマ5 設備投資の経済性計算</t>
    <rPh sb="5" eb="7">
      <t>セツビ</t>
    </rPh>
    <rPh sb="7" eb="9">
      <t>トウシ</t>
    </rPh>
    <rPh sb="10" eb="15">
      <t>ケイザイセイケイサン</t>
    </rPh>
    <phoneticPr fontId="2"/>
  </si>
  <si>
    <t>営業支出</t>
  </si>
  <si>
    <t>営業収入</t>
  </si>
  <si>
    <t>税前利益</t>
  </si>
  <si>
    <t>税引後利益</t>
    <rPh sb="0" eb="2">
      <t>ゼイビ</t>
    </rPh>
    <rPh sb="2" eb="3">
      <t>ゴ</t>
    </rPh>
    <rPh sb="3" eb="5">
      <t>リエキ</t>
    </rPh>
    <phoneticPr fontId="2"/>
  </si>
  <si>
    <t>ここでのCFとは、特に断りがない限り｢事例Ⅳ｣NPV設問で用いられる「税引前キャッシュフロー」とする。このエクセルでは簿記の解法である税引後CIFボックスを使う。</t>
    <rPh sb="9" eb="10">
      <t>トク</t>
    </rPh>
    <rPh sb="11" eb="12">
      <t>コトワ</t>
    </rPh>
    <rPh sb="16" eb="17">
      <t>カギ</t>
    </rPh>
    <rPh sb="19" eb="21">
      <t>ジレイ</t>
    </rPh>
    <rPh sb="26" eb="28">
      <t>セツモン</t>
    </rPh>
    <rPh sb="29" eb="30">
      <t>モチ</t>
    </rPh>
    <rPh sb="35" eb="38">
      <t>ゼイビキマエ</t>
    </rPh>
    <rPh sb="59" eb="61">
      <t>ボキ</t>
    </rPh>
    <rPh sb="62" eb="64">
      <t>カイホウ</t>
    </rPh>
    <rPh sb="67" eb="69">
      <t>ゼイビキ</t>
    </rPh>
    <rPh sb="69" eb="70">
      <t>ゴ</t>
    </rPh>
    <rPh sb="78" eb="79">
      <t>ツカ</t>
    </rPh>
    <phoneticPr fontId="2"/>
  </si>
  <si>
    <t>税引後NOPAT</t>
    <rPh sb="0" eb="3">
      <t>ゼイビキゴ</t>
    </rPh>
    <phoneticPr fontId="2"/>
  </si>
  <si>
    <t>税引後CIF</t>
    <rPh sb="0" eb="3">
      <t>ゼイビキゴ</t>
    </rPh>
    <phoneticPr fontId="2"/>
  </si>
  <si>
    <t>(設問4)</t>
    <rPh sb="1" eb="3">
      <t>セツモン</t>
    </rPh>
    <phoneticPr fontId="2"/>
  </si>
  <si>
    <t>(設問5)</t>
    <rPh sb="1" eb="3">
      <t>セツモン</t>
    </rPh>
    <phoneticPr fontId="2"/>
  </si>
  <si>
    <t>(設問6)</t>
    <rPh sb="1" eb="3">
      <t>セツモン</t>
    </rPh>
    <phoneticPr fontId="2"/>
  </si>
  <si>
    <t>NPVで頻出の期末設備売却収入＋タックスシールドの考慮</t>
    <rPh sb="4" eb="6">
      <t>ヒンシュツ</t>
    </rPh>
    <rPh sb="7" eb="9">
      <t>キマツ</t>
    </rPh>
    <rPh sb="9" eb="11">
      <t>セツビ</t>
    </rPh>
    <rPh sb="11" eb="13">
      <t>バイキャク</t>
    </rPh>
    <rPh sb="13" eb="15">
      <t>シュウニュウ</t>
    </rPh>
    <rPh sb="25" eb="27">
      <t>コウリョ</t>
    </rPh>
    <phoneticPr fontId="2"/>
  </si>
  <si>
    <t>計算には必要ないが、説明用として仕訳を示す</t>
    <rPh sb="0" eb="2">
      <t>ケイサン</t>
    </rPh>
    <rPh sb="4" eb="6">
      <t>ヒツヨウ</t>
    </rPh>
    <rPh sb="10" eb="12">
      <t>セツメイ</t>
    </rPh>
    <rPh sb="12" eb="13">
      <t>ヨウ</t>
    </rPh>
    <rPh sb="16" eb="18">
      <t>シワケ</t>
    </rPh>
    <rPh sb="19" eb="20">
      <t>シメ</t>
    </rPh>
    <phoneticPr fontId="2"/>
  </si>
  <si>
    <t>未払法人税等</t>
    <rPh sb="0" eb="2">
      <t>ミハライ</t>
    </rPh>
    <rPh sb="2" eb="6">
      <t>ホウジンゼイトウ</t>
    </rPh>
    <phoneticPr fontId="2"/>
  </si>
  <si>
    <t>※売却損益がない時は、法人税による影響(タックスシールド)は発生しない</t>
    <rPh sb="1" eb="3">
      <t>バイキャク</t>
    </rPh>
    <rPh sb="3" eb="5">
      <t>ソンエキ</t>
    </rPh>
    <rPh sb="8" eb="9">
      <t>トキ</t>
    </rPh>
    <rPh sb="11" eb="14">
      <t>ホウジンゼイ</t>
    </rPh>
    <rPh sb="17" eb="19">
      <t>エイキョウ</t>
    </rPh>
    <rPh sb="30" eb="32">
      <t>ハッセイ</t>
    </rPh>
    <phoneticPr fontId="2"/>
  </si>
  <si>
    <t>年度の税引後CIFと設備売却収入を分けて計算するのがポイント</t>
    <rPh sb="0" eb="2">
      <t>ネンド</t>
    </rPh>
    <rPh sb="3" eb="6">
      <t>ゼイビキゴ</t>
    </rPh>
    <rPh sb="10" eb="12">
      <t>セツビ</t>
    </rPh>
    <rPh sb="12" eb="16">
      <t>バイキャクシュウニュウ</t>
    </rPh>
    <rPh sb="17" eb="18">
      <t>ワ</t>
    </rPh>
    <rPh sb="20" eb="22">
      <t>ケイサン</t>
    </rPh>
    <phoneticPr fontId="2"/>
  </si>
  <si>
    <t>税引後CIF再計</t>
    <rPh sb="0" eb="3">
      <t>ゼイビキゴ</t>
    </rPh>
    <rPh sb="6" eb="8">
      <t>サイケイ</t>
    </rPh>
    <phoneticPr fontId="2"/>
  </si>
  <si>
    <t>※仕訳が苦手な方は、現金収入額±税金によるタックスシールドで計算できればOK</t>
    <rPh sb="1" eb="3">
      <t>シワケ</t>
    </rPh>
    <rPh sb="4" eb="6">
      <t>ニガテ</t>
    </rPh>
    <rPh sb="7" eb="8">
      <t>カタ</t>
    </rPh>
    <rPh sb="10" eb="12">
      <t>ゲンキン</t>
    </rPh>
    <rPh sb="12" eb="14">
      <t>シュウニュウ</t>
    </rPh>
    <rPh sb="14" eb="15">
      <t>ガク</t>
    </rPh>
    <rPh sb="16" eb="18">
      <t>ゼイキン</t>
    </rPh>
    <rPh sb="30" eb="32">
      <t>ケイサン</t>
    </rPh>
    <phoneticPr fontId="2"/>
  </si>
  <si>
    <t>(設問７)</t>
    <rPh sb="1" eb="3">
      <t>セツモン</t>
    </rPh>
    <phoneticPr fontId="2"/>
  </si>
  <si>
    <t>(設問8)</t>
    <rPh sb="1" eb="3">
      <t>セツモン</t>
    </rPh>
    <phoneticPr fontId="2"/>
  </si>
  <si>
    <t>←法人税がない場合、売却損益はCFと無関係になる</t>
    <rPh sb="1" eb="4">
      <t>ホウジンゼイ</t>
    </rPh>
    <rPh sb="7" eb="9">
      <t>バアイ</t>
    </rPh>
    <rPh sb="10" eb="12">
      <t>バイキャク</t>
    </rPh>
    <rPh sb="12" eb="14">
      <t>ソンエキ</t>
    </rPh>
    <rPh sb="18" eb="21">
      <t>ムカンケイ</t>
    </rPh>
    <phoneticPr fontId="2"/>
  </si>
  <si>
    <t>取替投資における差額CFの考え方★Ⅳでは重要</t>
    <rPh sb="0" eb="4">
      <t>トリカエトウシ</t>
    </rPh>
    <rPh sb="8" eb="10">
      <t>サガク</t>
    </rPh>
    <rPh sb="13" eb="14">
      <t>カンガ</t>
    </rPh>
    <rPh sb="15" eb="16">
      <t>カタ</t>
    </rPh>
    <rPh sb="20" eb="22">
      <t>ジュウヨウ</t>
    </rPh>
    <phoneticPr fontId="2"/>
  </si>
  <si>
    <t>新設備</t>
    <rPh sb="0" eb="3">
      <t>シンセツビ</t>
    </rPh>
    <phoneticPr fontId="2"/>
  </si>
  <si>
    <t>旧設備</t>
    <rPh sb="0" eb="3">
      <t>キュウセツビ</t>
    </rPh>
    <phoneticPr fontId="2"/>
  </si>
  <si>
    <t>売却収入</t>
    <rPh sb="0" eb="2">
      <t>バイキャク</t>
    </rPh>
    <rPh sb="2" eb="4">
      <t>シュウニュウ</t>
    </rPh>
    <phoneticPr fontId="2"/>
  </si>
  <si>
    <t>説明するには仕訳が良いが、苦手な方は収入＋タックスシールドで答が合えばOK</t>
    <rPh sb="0" eb="2">
      <t>セツメイ</t>
    </rPh>
    <rPh sb="6" eb="8">
      <t>シワケ</t>
    </rPh>
    <rPh sb="9" eb="10">
      <t>ヨ</t>
    </rPh>
    <rPh sb="13" eb="15">
      <t>ニガテ</t>
    </rPh>
    <rPh sb="16" eb="17">
      <t>カタ</t>
    </rPh>
    <rPh sb="18" eb="20">
      <t>シュウニュウ</t>
    </rPh>
    <rPh sb="30" eb="31">
      <t>コタエ</t>
    </rPh>
    <rPh sb="32" eb="33">
      <t>ア</t>
    </rPh>
    <phoneticPr fontId="2"/>
  </si>
  <si>
    <t>差額CF計</t>
    <rPh sb="0" eb="2">
      <t>サガク</t>
    </rPh>
    <rPh sb="4" eb="5">
      <t>ケイ</t>
    </rPh>
    <phoneticPr fontId="2"/>
  </si>
  <si>
    <t>年あたりの差額CF</t>
    <rPh sb="0" eb="1">
      <t>トシ</t>
    </rPh>
    <rPh sb="5" eb="7">
      <t>サガク</t>
    </rPh>
    <phoneticPr fontId="2"/>
  </si>
  <si>
    <t>旧減価償却費</t>
    <rPh sb="0" eb="1">
      <t>キュウ</t>
    </rPh>
    <rPh sb="1" eb="6">
      <t>ゲンカショウキャクヒ</t>
    </rPh>
    <phoneticPr fontId="2"/>
  </si>
  <si>
    <t>支出の削減</t>
    <rPh sb="0" eb="2">
      <t>シシュツ</t>
    </rPh>
    <rPh sb="3" eb="5">
      <t>サクゲン</t>
    </rPh>
    <phoneticPr fontId="2"/>
  </si>
  <si>
    <t>税引前</t>
    <rPh sb="0" eb="3">
      <t>ゼイビキマエ</t>
    </rPh>
    <phoneticPr fontId="2"/>
  </si>
  <si>
    <t>税引後</t>
    <rPh sb="0" eb="3">
      <t>ゼイビキゴ</t>
    </rPh>
    <phoneticPr fontId="2"/>
  </si>
  <si>
    <t>新減価償却費</t>
    <rPh sb="0" eb="1">
      <t>シン</t>
    </rPh>
    <rPh sb="1" eb="6">
      <t>ゲンカショウキャクヒ</t>
    </rPh>
    <phoneticPr fontId="2"/>
  </si>
  <si>
    <t>↓タックスシールド部</t>
    <rPh sb="9" eb="10">
      <t>ブ</t>
    </rPh>
    <phoneticPr fontId="2"/>
  </si>
  <si>
    <t>←ここの考え方は上の税引後BOXで説明できる。設問変化に対応するため、自分の言葉で説明できるまで理解を。</t>
    <rPh sb="4" eb="5">
      <t>カンガ</t>
    </rPh>
    <rPh sb="6" eb="7">
      <t>カタ</t>
    </rPh>
    <rPh sb="8" eb="9">
      <t>ウエ</t>
    </rPh>
    <rPh sb="10" eb="13">
      <t>ゼイビキゴ</t>
    </rPh>
    <rPh sb="17" eb="19">
      <t>セツメイ</t>
    </rPh>
    <rPh sb="23" eb="25">
      <t>セツモン</t>
    </rPh>
    <rPh sb="25" eb="27">
      <t>ヘンカ</t>
    </rPh>
    <rPh sb="28" eb="30">
      <t>タイオウ</t>
    </rPh>
    <rPh sb="35" eb="37">
      <t>ジブン</t>
    </rPh>
    <rPh sb="38" eb="40">
      <t>コトバ</t>
    </rPh>
    <rPh sb="41" eb="43">
      <t>セツメイ</t>
    </rPh>
    <rPh sb="48" eb="50">
      <t>リカイ</t>
    </rPh>
    <phoneticPr fontId="2"/>
  </si>
  <si>
    <t>P.50 NPVの途中まで</t>
    <rPh sb="9" eb="11">
      <t>トチュウ</t>
    </rPh>
    <phoneticPr fontId="2"/>
  </si>
  <si>
    <t>第4問</t>
    <rPh sb="0" eb="1">
      <t>ダイ</t>
    </rPh>
    <rPh sb="2" eb="3">
      <t>モン</t>
    </rPh>
    <phoneticPr fontId="2"/>
  </si>
  <si>
    <t>タイムテーブルと現価係数を使いPVを求める</t>
    <rPh sb="8" eb="12">
      <t>ゲンカケイスウ</t>
    </rPh>
    <rPh sb="13" eb="14">
      <t>ツカ</t>
    </rPh>
    <rPh sb="18" eb="19">
      <t>モト</t>
    </rPh>
    <phoneticPr fontId="2"/>
  </si>
  <si>
    <t>X1</t>
  </si>
  <si>
    <t>X1</t>
    <phoneticPr fontId="2"/>
  </si>
  <si>
    <t>X2</t>
  </si>
  <si>
    <t>X2</t>
    <phoneticPr fontId="2"/>
  </si>
  <si>
    <t>X3</t>
  </si>
  <si>
    <t>X3</t>
    <phoneticPr fontId="2"/>
  </si>
  <si>
    <t>X4</t>
  </si>
  <si>
    <t>X4</t>
    <phoneticPr fontId="2"/>
  </si>
  <si>
    <t>X5</t>
  </si>
  <si>
    <t>X5</t>
    <phoneticPr fontId="2"/>
  </si>
  <si>
    <t>PV</t>
    <phoneticPr fontId="2"/>
  </si>
  <si>
    <t>(設問1)</t>
    <rPh sb="1" eb="3">
      <t>セツモン</t>
    </rPh>
    <phoneticPr fontId="2"/>
  </si>
  <si>
    <t>(設問2)</t>
    <rPh sb="1" eb="3">
      <t>セツモン</t>
    </rPh>
    <phoneticPr fontId="2"/>
  </si>
  <si>
    <t>X6</t>
  </si>
  <si>
    <t>X6</t>
    <phoneticPr fontId="2"/>
  </si>
  <si>
    <t>(設問3)</t>
    <rPh sb="1" eb="3">
      <t>セツモン</t>
    </rPh>
    <phoneticPr fontId="2"/>
  </si>
  <si>
    <t>(設問4)</t>
    <rPh sb="1" eb="3">
      <t>セツモン</t>
    </rPh>
    <phoneticPr fontId="2"/>
  </si>
  <si>
    <t>(設問5)</t>
    <rPh sb="1" eb="3">
      <t>セツモン</t>
    </rPh>
    <phoneticPr fontId="2"/>
  </si>
  <si>
    <t>第5問</t>
    <rPh sb="0" eb="1">
      <t>ダイ</t>
    </rPh>
    <rPh sb="2" eb="3">
      <t>モン</t>
    </rPh>
    <phoneticPr fontId="2"/>
  </si>
  <si>
    <t>初期投資</t>
    <rPh sb="0" eb="4">
      <t>ショキトウシ</t>
    </rPh>
    <phoneticPr fontId="2"/>
  </si>
  <si>
    <t>減価償却費</t>
    <rPh sb="0" eb="5">
      <t>ゲンカショウキャクヒ</t>
    </rPh>
    <phoneticPr fontId="2"/>
  </si>
  <si>
    <t>←営業CFに含むので計算に使わない</t>
    <rPh sb="1" eb="3">
      <t>エイギョウ</t>
    </rPh>
    <rPh sb="6" eb="7">
      <t>フク</t>
    </rPh>
    <rPh sb="10" eb="12">
      <t>ケイサン</t>
    </rPh>
    <rPh sb="13" eb="14">
      <t>ツカ</t>
    </rPh>
    <phoneticPr fontId="2"/>
  </si>
  <si>
    <t>NPVの計算。当問では｢営業CF｣と表記しているが｢Ⅳ｣の正しい表記は｢税引後CF｣であり、厳密には混同してはいけない。</t>
    <rPh sb="4" eb="6">
      <t>ケイサン</t>
    </rPh>
    <rPh sb="7" eb="9">
      <t>トウモン</t>
    </rPh>
    <rPh sb="12" eb="14">
      <t>エイギョウ</t>
    </rPh>
    <rPh sb="18" eb="20">
      <t>ヒョウキ</t>
    </rPh>
    <rPh sb="29" eb="30">
      <t>タダ</t>
    </rPh>
    <rPh sb="32" eb="34">
      <t>ヒョウキ</t>
    </rPh>
    <rPh sb="36" eb="39">
      <t>ゼイビキゴ</t>
    </rPh>
    <rPh sb="46" eb="48">
      <t>ゲンミツ</t>
    </rPh>
    <rPh sb="50" eb="52">
      <t>コンドウ</t>
    </rPh>
    <phoneticPr fontId="2"/>
  </si>
  <si>
    <t>営業CF</t>
    <rPh sb="0" eb="2">
      <t>エイギョウ</t>
    </rPh>
    <phoneticPr fontId="2"/>
  </si>
  <si>
    <t>NPV</t>
    <phoneticPr fontId="2"/>
  </si>
  <si>
    <t>第6問</t>
    <rPh sb="0" eb="1">
      <t>ダイ</t>
    </rPh>
    <rPh sb="2" eb="3">
      <t>モン</t>
    </rPh>
    <phoneticPr fontId="2"/>
  </si>
  <si>
    <t>税引後営業利益NOPAT</t>
    <rPh sb="0" eb="3">
      <t>ゼイビキゴ</t>
    </rPh>
    <rPh sb="3" eb="5">
      <t>エイギョウ</t>
    </rPh>
    <rPh sb="5" eb="7">
      <t>リエキ</t>
    </rPh>
    <phoneticPr fontId="2"/>
  </si>
  <si>
    <t>第7問</t>
    <rPh sb="0" eb="1">
      <t>ダイ</t>
    </rPh>
    <rPh sb="2" eb="3">
      <t>モン</t>
    </rPh>
    <phoneticPr fontId="2"/>
  </si>
  <si>
    <t>回収期間法</t>
    <rPh sb="0" eb="2">
      <t>カイシュウ</t>
    </rPh>
    <rPh sb="2" eb="5">
      <t>キカンホウ</t>
    </rPh>
    <phoneticPr fontId="2"/>
  </si>
  <si>
    <t>2年で32まで回収し、3年目で残りを分数</t>
    <rPh sb="1" eb="2">
      <t>ネン</t>
    </rPh>
    <rPh sb="7" eb="9">
      <t>カイシュウ</t>
    </rPh>
    <rPh sb="12" eb="14">
      <t>ネンメ</t>
    </rPh>
    <rPh sb="15" eb="16">
      <t>ノコ</t>
    </rPh>
    <rPh sb="18" eb="20">
      <t>ブンスウ</t>
    </rPh>
    <phoneticPr fontId="2"/>
  </si>
  <si>
    <t>年</t>
    <rPh sb="0" eb="1">
      <t>ネン</t>
    </rPh>
    <phoneticPr fontId="2"/>
  </si>
  <si>
    <t>現価係数</t>
    <rPh sb="0" eb="4">
      <t>ゲンカケイスウ</t>
    </rPh>
    <phoneticPr fontId="2"/>
  </si>
  <si>
    <t>割引回収期間法</t>
    <rPh sb="0" eb="2">
      <t>ワリビキ</t>
    </rPh>
    <rPh sb="2" eb="4">
      <t>カイシュウ</t>
    </rPh>
    <rPh sb="4" eb="7">
      <t>キカンホウ</t>
    </rPh>
    <phoneticPr fontId="2"/>
  </si>
  <si>
    <t>2年で28.46まで回収し、3年目で残りを分数</t>
    <rPh sb="1" eb="2">
      <t>ネン</t>
    </rPh>
    <rPh sb="10" eb="12">
      <t>カイシュウ</t>
    </rPh>
    <rPh sb="15" eb="17">
      <t>ネンメ</t>
    </rPh>
    <rPh sb="18" eb="19">
      <t>ノコ</t>
    </rPh>
    <rPh sb="21" eb="23">
      <t>ブンスウ</t>
    </rPh>
    <phoneticPr fontId="2"/>
  </si>
  <si>
    <t>回収期間法、割引回収期間法、NPV法を比較する良問</t>
    <rPh sb="0" eb="2">
      <t>カイシュウ</t>
    </rPh>
    <rPh sb="2" eb="5">
      <t>キカンホウ</t>
    </rPh>
    <rPh sb="6" eb="8">
      <t>ワリビキ</t>
    </rPh>
    <rPh sb="8" eb="10">
      <t>カイシュウ</t>
    </rPh>
    <rPh sb="10" eb="13">
      <t>キカンホウ</t>
    </rPh>
    <rPh sb="17" eb="18">
      <t>ホウ</t>
    </rPh>
    <rPh sb="19" eb="21">
      <t>ヒカク</t>
    </rPh>
    <rPh sb="23" eb="25">
      <t>リョウモン</t>
    </rPh>
    <phoneticPr fontId="2"/>
  </si>
  <si>
    <t>NPV法</t>
    <rPh sb="3" eb="4">
      <t>ホウ</t>
    </rPh>
    <phoneticPr fontId="2"/>
  </si>
  <si>
    <t>X1年</t>
    <rPh sb="2" eb="3">
      <t>ネン</t>
    </rPh>
    <phoneticPr fontId="2"/>
  </si>
  <si>
    <t>X2年</t>
    <rPh sb="2" eb="3">
      <t>ネン</t>
    </rPh>
    <phoneticPr fontId="2"/>
  </si>
  <si>
    <t>X3年</t>
    <rPh sb="2" eb="3">
      <t>ネン</t>
    </rPh>
    <phoneticPr fontId="2"/>
  </si>
  <si>
    <t>X4年</t>
    <rPh sb="2" eb="3">
      <t>ネン</t>
    </rPh>
    <phoneticPr fontId="2"/>
  </si>
  <si>
    <t>第8問</t>
    <rPh sb="0" eb="1">
      <t>ダイ</t>
    </rPh>
    <rPh sb="2" eb="3">
      <t>モン</t>
    </rPh>
    <phoneticPr fontId="2"/>
  </si>
  <si>
    <t>取替投資は必ずタイムテーブルを描いて差額CFの表を作る。差額CFの考え方は第3問を参照</t>
    <rPh sb="0" eb="4">
      <t>トリカエトウシ</t>
    </rPh>
    <rPh sb="5" eb="6">
      <t>カナラ</t>
    </rPh>
    <rPh sb="15" eb="16">
      <t>カ</t>
    </rPh>
    <rPh sb="18" eb="20">
      <t>サガク</t>
    </rPh>
    <rPh sb="23" eb="24">
      <t>ヒョウ</t>
    </rPh>
    <rPh sb="25" eb="26">
      <t>ツク</t>
    </rPh>
    <rPh sb="28" eb="30">
      <t>サガク</t>
    </rPh>
    <rPh sb="33" eb="34">
      <t>カンガ</t>
    </rPh>
    <rPh sb="35" eb="36">
      <t>カタ</t>
    </rPh>
    <rPh sb="37" eb="38">
      <t>ダイ</t>
    </rPh>
    <rPh sb="39" eb="40">
      <t>モン</t>
    </rPh>
    <rPh sb="41" eb="43">
      <t>サンショウ</t>
    </rPh>
    <phoneticPr fontId="2"/>
  </si>
  <si>
    <t>新設備</t>
    <rPh sb="0" eb="3">
      <t>シンセツビ</t>
    </rPh>
    <phoneticPr fontId="2"/>
  </si>
  <si>
    <t>旧設備</t>
    <rPh sb="0" eb="3">
      <t>キュウセツビ</t>
    </rPh>
    <phoneticPr fontId="2"/>
  </si>
  <si>
    <t>現設備</t>
    <rPh sb="0" eb="1">
      <t>ゲン</t>
    </rPh>
    <rPh sb="1" eb="3">
      <t>セツビ</t>
    </rPh>
    <phoneticPr fontId="2"/>
  </si>
  <si>
    <t>失うCF</t>
    <rPh sb="0" eb="1">
      <t>ウシナ</t>
    </rPh>
    <phoneticPr fontId="2"/>
  </si>
  <si>
    <t>得られるCF</t>
    <rPh sb="0" eb="1">
      <t>エ</t>
    </rPh>
    <phoneticPr fontId="2"/>
  </si>
  <si>
    <t>機械売却</t>
    <rPh sb="0" eb="2">
      <t>キカイ</t>
    </rPh>
    <rPh sb="2" eb="4">
      <t>バイキャク</t>
    </rPh>
    <phoneticPr fontId="2"/>
  </si>
  <si>
    <t>売却額</t>
    <rPh sb="0" eb="3">
      <t>バイキャクガク</t>
    </rPh>
    <phoneticPr fontId="2"/>
  </si>
  <si>
    <t>売却損</t>
    <rPh sb="0" eb="3">
      <t>バイキャクソン</t>
    </rPh>
    <phoneticPr fontId="2"/>
  </si>
  <si>
    <t>売却損TS</t>
    <rPh sb="0" eb="3">
      <t>バイキャクソン</t>
    </rPh>
    <phoneticPr fontId="2"/>
  </si>
  <si>
    <t>X1期首の差額CF</t>
    <rPh sb="2" eb="4">
      <t>キシュ</t>
    </rPh>
    <rPh sb="5" eb="7">
      <t>サガク</t>
    </rPh>
    <phoneticPr fontId="2"/>
  </si>
  <si>
    <t>X1期末の差額CF</t>
    <rPh sb="2" eb="4">
      <t>キマツ</t>
    </rPh>
    <rPh sb="5" eb="7">
      <t>サガク</t>
    </rPh>
    <phoneticPr fontId="2"/>
  </si>
  <si>
    <t>売却益</t>
    <rPh sb="0" eb="2">
      <t>バイキャク</t>
    </rPh>
    <rPh sb="2" eb="3">
      <t>エキ</t>
    </rPh>
    <phoneticPr fontId="2"/>
  </si>
  <si>
    <t>売却益逆TS</t>
    <rPh sb="0" eb="2">
      <t>バイキャク</t>
    </rPh>
    <rPh sb="2" eb="3">
      <t>エキ</t>
    </rPh>
    <rPh sb="3" eb="4">
      <t>ギャク</t>
    </rPh>
    <phoneticPr fontId="2"/>
  </si>
  <si>
    <t>X5期末の差額CF</t>
    <rPh sb="2" eb="4">
      <t>キマツ</t>
    </rPh>
    <rPh sb="5" eb="7">
      <t>サガク</t>
    </rPh>
    <phoneticPr fontId="2"/>
  </si>
  <si>
    <t>その他の年〃</t>
    <rPh sb="2" eb="3">
      <t>タ</t>
    </rPh>
    <rPh sb="4" eb="5">
      <t>トシ</t>
    </rPh>
    <phoneticPr fontId="2"/>
  </si>
  <si>
    <t>取替投資の解き方を、(設問1)〜(〃4)の順を追って説明する良問</t>
    <rPh sb="0" eb="4">
      <t>トリカエトウシ</t>
    </rPh>
    <rPh sb="5" eb="6">
      <t>ト</t>
    </rPh>
    <rPh sb="7" eb="8">
      <t>カタ</t>
    </rPh>
    <rPh sb="11" eb="13">
      <t>セツモン</t>
    </rPh>
    <rPh sb="21" eb="22">
      <t>ジュン</t>
    </rPh>
    <rPh sb="23" eb="24">
      <t>オ</t>
    </rPh>
    <rPh sb="26" eb="28">
      <t>セツメイ</t>
    </rPh>
    <rPh sb="30" eb="32">
      <t>リョウモン</t>
    </rPh>
    <phoneticPr fontId="2"/>
  </si>
  <si>
    <t>第9問</t>
    <rPh sb="0" eb="1">
      <t>ダイ</t>
    </rPh>
    <rPh sb="2" eb="3">
      <t>モン</t>
    </rPh>
    <phoneticPr fontId="2"/>
  </si>
  <si>
    <t>ディシジョンツリー</t>
    <phoneticPr fontId="2"/>
  </si>
  <si>
    <t>X0</t>
  </si>
  <si>
    <t>売上H</t>
    <rPh sb="0" eb="2">
      <t>ウリアゲ</t>
    </rPh>
    <phoneticPr fontId="2"/>
  </si>
  <si>
    <t>○○最高！ コロコロ2割</t>
    <rPh sb="2" eb="4">
      <t>サイコウ</t>
    </rPh>
    <rPh sb="11" eb="12">
      <t>ワリ</t>
    </rPh>
    <phoneticPr fontId="2"/>
  </si>
  <si>
    <t>○最高！</t>
    <rPh sb="1" eb="3">
      <t>サイコウ</t>
    </rPh>
    <phoneticPr fontId="2"/>
  </si>
  <si>
    <t>コストL</t>
  </si>
  <si>
    <t>先に</t>
    <rPh sb="0" eb="1">
      <t>サキ</t>
    </rPh>
    <phoneticPr fontId="2"/>
  </si>
  <si>
    <t>売上L</t>
    <rPh sb="0" eb="2">
      <t>ウリアゲ</t>
    </rPh>
    <phoneticPr fontId="2"/>
  </si>
  <si>
    <t>○×そこそこ</t>
  </si>
  <si>
    <t>事前に</t>
    <rPh sb="0" eb="2">
      <t>ジゼン</t>
    </rPh>
    <phoneticPr fontId="2"/>
  </si>
  <si>
    <t>×そこそこ？</t>
  </si>
  <si>
    <t>設備投資</t>
    <rPh sb="0" eb="4">
      <t>セツビトウシ</t>
    </rPh>
    <phoneticPr fontId="2"/>
  </si>
  <si>
    <t>R&amp;D</t>
  </si>
  <si>
    <t>×○そこそこ</t>
  </si>
  <si>
    <t>コストH</t>
  </si>
  <si>
    <t>××最悪！</t>
    <rPh sb="2" eb="4">
      <t>サイアク</t>
    </rPh>
    <phoneticPr fontId="2"/>
  </si>
  <si>
    <t>収入</t>
    <rPh sb="0" eb="2">
      <t>シュウニュウ</t>
    </rPh>
    <phoneticPr fontId="2"/>
  </si>
  <si>
    <t>コスト</t>
  </si>
  <si>
    <t>(設問1)コスト高低、売上高低それぞれにつき期待値計算</t>
    <rPh sb="1" eb="3">
      <t>セツモン</t>
    </rPh>
    <rPh sb="8" eb="10">
      <t>コウテイ</t>
    </rPh>
    <rPh sb="11" eb="13">
      <t>ウリアゲ</t>
    </rPh>
    <rPh sb="13" eb="15">
      <t>コウテイ</t>
    </rPh>
    <rPh sb="22" eb="27">
      <t>キタイチケイサン</t>
    </rPh>
    <phoneticPr fontId="2"/>
  </si>
  <si>
    <t>(設問2)先行R&amp;Dでコスト高が判明した時は投資中止することで、プロジェクトのNPVが上昇</t>
    <rPh sb="1" eb="3">
      <t>セツモン</t>
    </rPh>
    <rPh sb="5" eb="7">
      <t>センコウ</t>
    </rPh>
    <rPh sb="14" eb="15">
      <t>コウ</t>
    </rPh>
    <rPh sb="16" eb="18">
      <t>ハンメイ</t>
    </rPh>
    <rPh sb="20" eb="21">
      <t>トキ</t>
    </rPh>
    <rPh sb="22" eb="24">
      <t>トウシ</t>
    </rPh>
    <rPh sb="24" eb="26">
      <t>チュウシ</t>
    </rPh>
    <rPh sb="43" eb="45">
      <t>ジョウショウ</t>
    </rPh>
    <phoneticPr fontId="2"/>
  </si>
  <si>
    <t>コスト期待値</t>
    <rPh sb="3" eb="6">
      <t>キタイチ</t>
    </rPh>
    <phoneticPr fontId="2"/>
  </si>
  <si>
    <t>H</t>
    <phoneticPr fontId="2"/>
  </si>
  <si>
    <t>L</t>
    <phoneticPr fontId="2"/>
  </si>
  <si>
    <t>期待値</t>
    <rPh sb="0" eb="3">
      <t>キタイチ</t>
    </rPh>
    <phoneticPr fontId="2"/>
  </si>
  <si>
    <t>売上期待値</t>
    <rPh sb="0" eb="2">
      <t>ウリアゲ</t>
    </rPh>
    <rPh sb="2" eb="5">
      <t>キタイチ</t>
    </rPh>
    <phoneticPr fontId="2"/>
  </si>
  <si>
    <t>←NPV＜0になり、このままでは投資GOサインが出ない</t>
    <rPh sb="16" eb="18">
      <t>トウシ</t>
    </rPh>
    <rPh sb="24" eb="25">
      <t>デ</t>
    </rPh>
    <phoneticPr fontId="2"/>
  </si>
  <si>
    <t>R＆D</t>
    <phoneticPr fontId="2"/>
  </si>
  <si>
    <t>コスト</t>
    <phoneticPr fontId="2"/>
  </si>
  <si>
    <t>コストLの場合</t>
    <rPh sb="5" eb="7">
      <t>バアイ</t>
    </rPh>
    <phoneticPr fontId="2"/>
  </si>
  <si>
    <t>コストHの場合</t>
    <rPh sb="5" eb="7">
      <t>バアイ</t>
    </rPh>
    <phoneticPr fontId="2"/>
  </si>
  <si>
    <t>投資実行しない→損益0</t>
    <rPh sb="0" eb="2">
      <t>トウシ</t>
    </rPh>
    <rPh sb="2" eb="4">
      <t>ジッコウ</t>
    </rPh>
    <rPh sb="8" eb="10">
      <t>ソンエキ</t>
    </rPh>
    <phoneticPr fontId="2"/>
  </si>
  <si>
    <t>←5,000万円R&amp;Dにより、確率50%で16,800のNPVを得るので投資実行できる。</t>
    <rPh sb="6" eb="8">
      <t>マンエン</t>
    </rPh>
    <rPh sb="15" eb="17">
      <t>カクリツ</t>
    </rPh>
    <rPh sb="32" eb="33">
      <t>エ</t>
    </rPh>
    <rPh sb="36" eb="38">
      <t>トウシ</t>
    </rPh>
    <rPh sb="38" eb="40">
      <t>ジッコウ</t>
    </rPh>
    <phoneticPr fontId="2"/>
  </si>
  <si>
    <t>ディシジョンツリーの計算ルートは複数あり得る。</t>
    <rPh sb="10" eb="12">
      <t>ケイサン</t>
    </rPh>
    <rPh sb="16" eb="18">
      <t>フクスウ</t>
    </rPh>
    <rPh sb="20" eb="21">
      <t>エ</t>
    </rPh>
    <phoneticPr fontId="2"/>
  </si>
  <si>
    <t>まず正解を当ててから計算方法をブラッシュアップすればOKで、解き方を一つに決め付けないこと。</t>
    <rPh sb="2" eb="4">
      <t>セイカイ</t>
    </rPh>
    <rPh sb="5" eb="6">
      <t>ア</t>
    </rPh>
    <rPh sb="10" eb="12">
      <t>ケイサン</t>
    </rPh>
    <rPh sb="12" eb="14">
      <t>ホウホウ</t>
    </rPh>
    <rPh sb="30" eb="31">
      <t>ト</t>
    </rPh>
    <rPh sb="32" eb="33">
      <t>カタ</t>
    </rPh>
    <rPh sb="34" eb="35">
      <t>ヒト</t>
    </rPh>
    <rPh sb="37" eb="38">
      <t>キ</t>
    </rPh>
    <rPh sb="39" eb="40">
      <t>ツ</t>
    </rPh>
    <phoneticPr fontId="2"/>
  </si>
  <si>
    <t>【応用問題】</t>
    <rPh sb="1" eb="5">
      <t>オウヨウモンダイ</t>
    </rPh>
    <phoneticPr fontId="2"/>
  </si>
  <si>
    <t>第1問</t>
    <rPh sb="0" eb="1">
      <t>ダイ</t>
    </rPh>
    <rPh sb="2" eb="3">
      <t>モン</t>
    </rPh>
    <phoneticPr fontId="2"/>
  </si>
  <si>
    <t>2プロジェクト案のNPV比較→投資案決定</t>
    <rPh sb="7" eb="8">
      <t>アン</t>
    </rPh>
    <rPh sb="12" eb="14">
      <t>ヒカク</t>
    </rPh>
    <rPh sb="15" eb="18">
      <t>トウシアン</t>
    </rPh>
    <rPh sb="18" eb="20">
      <t>ケッテイ</t>
    </rPh>
    <phoneticPr fontId="2"/>
  </si>
  <si>
    <t>プロジェクト①</t>
    <phoneticPr fontId="2"/>
  </si>
  <si>
    <t>年ごとのCF額が変動するので、タイムテーブルの下に表を描く解き方を選ぶ</t>
    <rPh sb="0" eb="1">
      <t>トシ</t>
    </rPh>
    <rPh sb="6" eb="7">
      <t>ガク</t>
    </rPh>
    <rPh sb="8" eb="10">
      <t>ヘンドウ</t>
    </rPh>
    <rPh sb="23" eb="24">
      <t>シタ</t>
    </rPh>
    <rPh sb="25" eb="26">
      <t>ヒョウ</t>
    </rPh>
    <rPh sb="27" eb="28">
      <t>カ</t>
    </rPh>
    <rPh sb="29" eb="30">
      <t>ト</t>
    </rPh>
    <rPh sb="31" eb="32">
      <t>カタ</t>
    </rPh>
    <rPh sb="33" eb="34">
      <t>エラ</t>
    </rPh>
    <phoneticPr fontId="2"/>
  </si>
  <si>
    <t>建物</t>
    <rPh sb="0" eb="2">
      <t>タテモノ</t>
    </rPh>
    <phoneticPr fontId="2"/>
  </si>
  <si>
    <t>設備備品</t>
    <rPh sb="0" eb="4">
      <t>セツビビヒン</t>
    </rPh>
    <phoneticPr fontId="2"/>
  </si>
  <si>
    <t>〃売却収入</t>
    <rPh sb="1" eb="3">
      <t>バイキャク</t>
    </rPh>
    <rPh sb="3" eb="5">
      <t>シュウニュウ</t>
    </rPh>
    <phoneticPr fontId="2"/>
  </si>
  <si>
    <t>売却損</t>
    <rPh sb="0" eb="2">
      <t>バイキャク</t>
    </rPh>
    <rPh sb="2" eb="3">
      <t>ソン</t>
    </rPh>
    <phoneticPr fontId="2"/>
  </si>
  <si>
    <t>現金収入</t>
    <rPh sb="0" eb="2">
      <t>ゲンキン</t>
    </rPh>
    <rPh sb="2" eb="4">
      <t>シュウニュウ</t>
    </rPh>
    <phoneticPr fontId="2"/>
  </si>
  <si>
    <t>現金支出</t>
    <rPh sb="0" eb="2">
      <t>ゲンキン</t>
    </rPh>
    <rPh sb="2" eb="4">
      <t>シシュツ</t>
    </rPh>
    <phoneticPr fontId="2"/>
  </si>
  <si>
    <t>税引後収益</t>
    <rPh sb="0" eb="3">
      <t>ゼイビキゴ</t>
    </rPh>
    <rPh sb="3" eb="5">
      <t>シュウエキ</t>
    </rPh>
    <phoneticPr fontId="2"/>
  </si>
  <si>
    <t>税引後CIF</t>
    <rPh sb="0" eb="3">
      <t>ゼイビキゴ</t>
    </rPh>
    <phoneticPr fontId="2"/>
  </si>
  <si>
    <t>プロジェクト②</t>
    <phoneticPr fontId="2"/>
  </si>
  <si>
    <t>建物1</t>
    <rPh sb="0" eb="2">
      <t>タテモノ</t>
    </rPh>
    <phoneticPr fontId="2"/>
  </si>
  <si>
    <t>建物2</t>
    <rPh sb="0" eb="2">
      <t>タテモノ</t>
    </rPh>
    <phoneticPr fontId="2"/>
  </si>
  <si>
    <t>←設問ではX2期、解説ではX1期投資となっている</t>
    <rPh sb="1" eb="3">
      <t>セツモン</t>
    </rPh>
    <rPh sb="7" eb="8">
      <t>キ</t>
    </rPh>
    <rPh sb="9" eb="11">
      <t>カイセツ</t>
    </rPh>
    <rPh sb="15" eb="16">
      <t>キ</t>
    </rPh>
    <rPh sb="16" eb="18">
      <t>トウシ</t>
    </rPh>
    <phoneticPr fontId="2"/>
  </si>
  <si>
    <t>←NPVの大きいプロジェクト①を採用</t>
    <rPh sb="5" eb="6">
      <t>オオ</t>
    </rPh>
    <rPh sb="16" eb="18">
      <t>サイヨウ</t>
    </rPh>
    <phoneticPr fontId="2"/>
  </si>
  <si>
    <t>第2問</t>
    <rPh sb="0" eb="1">
      <t>ダイ</t>
    </rPh>
    <rPh sb="2" eb="3">
      <t>モン</t>
    </rPh>
    <phoneticPr fontId="2"/>
  </si>
  <si>
    <t>製造方法α</t>
    <rPh sb="0" eb="4">
      <t>セイゾウホウホウ</t>
    </rPh>
    <phoneticPr fontId="2"/>
  </si>
  <si>
    <t>製造方法β</t>
    <rPh sb="0" eb="4">
      <t>セイゾウホウホウ</t>
    </rPh>
    <phoneticPr fontId="2"/>
  </si>
  <si>
    <t>設備投資</t>
    <rPh sb="0" eb="4">
      <t>セツビトウシ</t>
    </rPh>
    <phoneticPr fontId="2"/>
  </si>
  <si>
    <t>X7</t>
  </si>
  <si>
    <t>減価償却</t>
    <rPh sb="0" eb="4">
      <t>ゲンカショウキャク</t>
    </rPh>
    <phoneticPr fontId="2"/>
  </si>
  <si>
    <t>？</t>
    <phoneticPr fontId="2"/>
  </si>
  <si>
    <t>←設問では不明だが営業CFが与えられるので一旦考慮不要に</t>
    <rPh sb="1" eb="3">
      <t>セツモン</t>
    </rPh>
    <rPh sb="5" eb="7">
      <t>フメイ</t>
    </rPh>
    <rPh sb="9" eb="11">
      <t>エイギョウ</t>
    </rPh>
    <rPh sb="14" eb="15">
      <t>アタ</t>
    </rPh>
    <rPh sb="21" eb="23">
      <t>イッタン</t>
    </rPh>
    <rPh sb="23" eb="25">
      <t>コウリョ</t>
    </rPh>
    <rPh sb="25" eb="27">
      <t>フヨウ</t>
    </rPh>
    <phoneticPr fontId="2"/>
  </si>
  <si>
    <t>←NPV</t>
    <phoneticPr fontId="2"/>
  </si>
  <si>
    <t>研究開発</t>
    <rPh sb="0" eb="2">
      <t>ケンキュウ</t>
    </rPh>
    <rPh sb="2" eb="4">
      <t>カイハツ</t>
    </rPh>
    <phoneticPr fontId="2"/>
  </si>
  <si>
    <t>CIFの再整理</t>
    <rPh sb="4" eb="7">
      <t>サイセイリ</t>
    </rPh>
    <phoneticPr fontId="2"/>
  </si>
  <si>
    <t>←投資実行</t>
    <rPh sb="1" eb="3">
      <t>トウシ</t>
    </rPh>
    <rPh sb="3" eb="5">
      <t>ジッコウ</t>
    </rPh>
    <phoneticPr fontId="2"/>
  </si>
  <si>
    <t>←投資実行しない</t>
    <rPh sb="1" eb="3">
      <t>トウシ</t>
    </rPh>
    <rPh sb="3" eb="5">
      <t>ジッコウ</t>
    </rPh>
    <phoneticPr fontId="2"/>
  </si>
  <si>
    <t>研究開発に着手し、製造方法αの場合は投資実行し、〃βの場合は投資実行しない。</t>
    <rPh sb="0" eb="4">
      <t>ケンキュウカイハツ</t>
    </rPh>
    <rPh sb="5" eb="7">
      <t>チャクシュ</t>
    </rPh>
    <rPh sb="9" eb="13">
      <t>セイゾウホウホウ</t>
    </rPh>
    <rPh sb="15" eb="17">
      <t>バアイ</t>
    </rPh>
    <rPh sb="18" eb="20">
      <t>トウシ</t>
    </rPh>
    <rPh sb="20" eb="22">
      <t>ジッコウ</t>
    </rPh>
    <rPh sb="27" eb="29">
      <t>バアイ</t>
    </rPh>
    <rPh sb="30" eb="34">
      <t>トウシジッコウ</t>
    </rPh>
    <phoneticPr fontId="2"/>
  </si>
  <si>
    <t>過去問H29第3問</t>
    <rPh sb="0" eb="3">
      <t>カコモン</t>
    </rPh>
    <rPh sb="6" eb="7">
      <t>ダイ</t>
    </rPh>
    <rPh sb="8" eb="9">
      <t>モン</t>
    </rPh>
    <phoneticPr fontId="2"/>
  </si>
  <si>
    <t>過去問エクセルからコピペ</t>
    <rPh sb="0" eb="3">
      <t>カコモン</t>
    </rPh>
    <phoneticPr fontId="2"/>
  </si>
  <si>
    <t>①旧設備でのCF</t>
    <rPh sb="1" eb="4">
      <t>キュウセツビ</t>
    </rPh>
    <phoneticPr fontId="2"/>
  </si>
  <si>
    <t>税引後CIFボックス</t>
    <rPh sb="0" eb="2">
      <t>ゼイビキ</t>
    </rPh>
    <rPh sb="2" eb="3">
      <t>ゴ</t>
    </rPh>
    <phoneticPr fontId="2"/>
  </si>
  <si>
    <t>減価償却費の計算</t>
    <rPh sb="0" eb="2">
      <t>ゲンカ</t>
    </rPh>
    <rPh sb="2" eb="4">
      <t>ショウキャク</t>
    </rPh>
    <rPh sb="4" eb="5">
      <t>ヒ</t>
    </rPh>
    <rPh sb="6" eb="8">
      <t>ケイサン</t>
    </rPh>
    <phoneticPr fontId="2"/>
  </si>
  <si>
    <t>X1期首</t>
    <rPh sb="2" eb="4">
      <t>キシュ</t>
    </rPh>
    <phoneticPr fontId="2"/>
  </si>
  <si>
    <t>X1期末</t>
    <rPh sb="2" eb="4">
      <t>キマツ</t>
    </rPh>
    <phoneticPr fontId="2"/>
  </si>
  <si>
    <t>費用</t>
    <rPh sb="0" eb="2">
      <t>ヒヨウ</t>
    </rPh>
    <phoneticPr fontId="2"/>
  </si>
  <si>
    <t>期首簿価</t>
    <rPh sb="0" eb="2">
      <t>キシュ</t>
    </rPh>
    <rPh sb="2" eb="4">
      <t>ボカ</t>
    </rPh>
    <phoneticPr fontId="2"/>
  </si>
  <si>
    <t>減価償却費</t>
    <rPh sb="0" eb="2">
      <t>ゲンカ</t>
    </rPh>
    <rPh sb="2" eb="4">
      <t>ショウキャク</t>
    </rPh>
    <rPh sb="4" eb="5">
      <t>ヒ</t>
    </rPh>
    <phoneticPr fontId="2"/>
  </si>
  <si>
    <t>償却年数</t>
    <rPh sb="0" eb="2">
      <t>ショウキャク</t>
    </rPh>
    <rPh sb="2" eb="4">
      <t>ネンスウ</t>
    </rPh>
    <phoneticPr fontId="2"/>
  </si>
  <si>
    <t>Cash in</t>
    <phoneticPr fontId="2"/>
  </si>
  <si>
    <t>利益</t>
    <rPh sb="0" eb="2">
      <t>リエキエイリ</t>
    </rPh>
    <phoneticPr fontId="2"/>
  </si>
  <si>
    <t>減価償却費/年</t>
    <rPh sb="0" eb="2">
      <t>ゲンカ</t>
    </rPh>
    <rPh sb="2" eb="4">
      <t>ショウキャク</t>
    </rPh>
    <rPh sb="4" eb="5">
      <t>ヒ</t>
    </rPh>
    <rPh sb="6" eb="7">
      <t>ネン</t>
    </rPh>
    <phoneticPr fontId="2"/>
  </si>
  <si>
    <t>Cash out</t>
    <phoneticPr fontId="2"/>
  </si>
  <si>
    <t>税引後利益</t>
    <rPh sb="0" eb="2">
      <t>ゼイビキ</t>
    </rPh>
    <rPh sb="2" eb="3">
      <t>ゴ</t>
    </rPh>
    <rPh sb="3" eb="5">
      <t>リエキ</t>
    </rPh>
    <phoneticPr fontId="2"/>
  </si>
  <si>
    <t>うち法人税</t>
    <rPh sb="2" eb="5">
      <t>ホウジンゼイ</t>
    </rPh>
    <phoneticPr fontId="2"/>
  </si>
  <si>
    <t>非現金支出項目</t>
    <rPh sb="0" eb="1">
      <t>ヒ</t>
    </rPh>
    <rPh sb="1" eb="3">
      <t>ゲンキン</t>
    </rPh>
    <rPh sb="3" eb="5">
      <t>シシュツ</t>
    </rPh>
    <rPh sb="5" eb="7">
      <t>コウモク</t>
    </rPh>
    <phoneticPr fontId="2"/>
  </si>
  <si>
    <t>税引後CIF(ボックスから)</t>
    <rPh sb="0" eb="2">
      <t>ゼイビ</t>
    </rPh>
    <rPh sb="2" eb="3">
      <t>ゴ</t>
    </rPh>
    <phoneticPr fontId="2"/>
  </si>
  <si>
    <t>税引後CIF</t>
    <rPh sb="0" eb="2">
      <t>ゼイビ</t>
    </rPh>
    <rPh sb="2" eb="3">
      <t>ゴ</t>
    </rPh>
    <phoneticPr fontId="2"/>
  </si>
  <si>
    <t>設備処分支出</t>
    <rPh sb="0" eb="2">
      <t>セツビ</t>
    </rPh>
    <rPh sb="2" eb="4">
      <t>ショブン</t>
    </rPh>
    <rPh sb="4" eb="6">
      <t>シシュツ</t>
    </rPh>
    <phoneticPr fontId="2"/>
  </si>
  <si>
    <t>〃 TS</t>
    <phoneticPr fontId="2"/>
  </si>
  <si>
    <t>②新設備のCF</t>
    <rPh sb="1" eb="4">
      <t>シンセツビ</t>
    </rPh>
    <phoneticPr fontId="2"/>
  </si>
  <si>
    <t>新設備購入</t>
    <rPh sb="0" eb="3">
      <t>シンセツビ</t>
    </rPh>
    <rPh sb="3" eb="5">
      <t>コウニュウ</t>
    </rPh>
    <phoneticPr fontId="2"/>
  </si>
  <si>
    <t>旧設備除却費用</t>
    <rPh sb="0" eb="3">
      <t>キュウセツビ</t>
    </rPh>
    <rPh sb="3" eb="5">
      <t>ジョキャク</t>
    </rPh>
    <rPh sb="5" eb="7">
      <t>ヒヨウ</t>
    </rPh>
    <phoneticPr fontId="2"/>
  </si>
  <si>
    <t>→X1の費用に加算。その後非現金支出項目として戻す。 ★難</t>
    <rPh sb="4" eb="6">
      <t>ヒヨウ</t>
    </rPh>
    <rPh sb="7" eb="9">
      <t>カサン</t>
    </rPh>
    <rPh sb="12" eb="13">
      <t>ゴ</t>
    </rPh>
    <rPh sb="13" eb="14">
      <t>ヒ</t>
    </rPh>
    <rPh sb="14" eb="16">
      <t>ゲンキン</t>
    </rPh>
    <rPh sb="16" eb="18">
      <t>シシュツ</t>
    </rPh>
    <rPh sb="18" eb="20">
      <t>コウモク</t>
    </rPh>
    <rPh sb="23" eb="24">
      <t>モド</t>
    </rPh>
    <rPh sb="28" eb="29">
      <t>ナン</t>
    </rPh>
    <phoneticPr fontId="2"/>
  </si>
  <si>
    <t>旧設備除却損</t>
    <rPh sb="0" eb="3">
      <t>キュウセツビ</t>
    </rPh>
    <rPh sb="3" eb="5">
      <t>ジョキャク</t>
    </rPh>
    <rPh sb="5" eb="6">
      <t>ソン</t>
    </rPh>
    <phoneticPr fontId="2"/>
  </si>
  <si>
    <t>→X1の費用に加算。その後非現金支出項目として戻す。 ☆減価償却費と異なり、ここは差額CFに含めない。</t>
    <rPh sb="4" eb="6">
      <t>ヒヨウ</t>
    </rPh>
    <rPh sb="7" eb="9">
      <t>カサン</t>
    </rPh>
    <rPh sb="12" eb="13">
      <t>ゴ</t>
    </rPh>
    <rPh sb="13" eb="14">
      <t>ヒ</t>
    </rPh>
    <rPh sb="14" eb="16">
      <t>ゲンキン</t>
    </rPh>
    <rPh sb="16" eb="18">
      <t>シシュツ</t>
    </rPh>
    <rPh sb="18" eb="20">
      <t>コウモク</t>
    </rPh>
    <rPh sb="23" eb="24">
      <t>モド</t>
    </rPh>
    <rPh sb="28" eb="30">
      <t>ゲンカ</t>
    </rPh>
    <rPh sb="30" eb="32">
      <t>ショウキャク</t>
    </rPh>
    <rPh sb="32" eb="33">
      <t>ヒ</t>
    </rPh>
    <rPh sb="34" eb="35">
      <t>コト</t>
    </rPh>
    <rPh sb="41" eb="43">
      <t>サガク</t>
    </rPh>
    <rPh sb="46" eb="47">
      <t>フク</t>
    </rPh>
    <phoneticPr fontId="2"/>
  </si>
  <si>
    <t>←新旧設備同額なので、差額CFでは考慮しない</t>
    <rPh sb="1" eb="3">
      <t>シンキュウ</t>
    </rPh>
    <rPh sb="3" eb="5">
      <t>セツビ</t>
    </rPh>
    <rPh sb="5" eb="7">
      <t>ドウガク</t>
    </rPh>
    <rPh sb="11" eb="13">
      <t>サガク</t>
    </rPh>
    <rPh sb="17" eb="19">
      <t>コウリョ</t>
    </rPh>
    <phoneticPr fontId="2"/>
  </si>
  <si>
    <t>②-①差額CFの計算</t>
    <rPh sb="3" eb="5">
      <t>サガク</t>
    </rPh>
    <rPh sb="8" eb="10">
      <t>ケイサン</t>
    </rPh>
    <phoneticPr fontId="2"/>
  </si>
  <si>
    <t>除却損TS</t>
    <rPh sb="0" eb="2">
      <t>ジョキャク</t>
    </rPh>
    <rPh sb="2" eb="3">
      <t>ソン</t>
    </rPh>
    <phoneticPr fontId="2"/>
  </si>
  <si>
    <t>割引後CF</t>
    <rPh sb="0" eb="2">
      <t>ワリビキ</t>
    </rPh>
    <rPh sb="2" eb="3">
      <t>ゴ</t>
    </rPh>
    <phoneticPr fontId="2"/>
  </si>
  <si>
    <t>NPV</t>
    <phoneticPr fontId="2"/>
  </si>
  <si>
    <t>NPVがプラスのため、当取替投資案を採用する。</t>
    <rPh sb="11" eb="12">
      <t>トウ</t>
    </rPh>
    <rPh sb="12" eb="14">
      <t>トリカエ</t>
    </rPh>
    <rPh sb="14" eb="16">
      <t>トウシ</t>
    </rPh>
    <rPh sb="16" eb="17">
      <t>アン</t>
    </rPh>
    <rPh sb="18" eb="20">
      <t>サイヨウ</t>
    </rPh>
    <phoneticPr fontId="2"/>
  </si>
  <si>
    <t>※安全性指標は別途。</t>
    <rPh sb="1" eb="4">
      <t>アンゼンセイ</t>
    </rPh>
    <rPh sb="4" eb="6">
      <t>シヒョウ</t>
    </rPh>
    <rPh sb="7" eb="9">
      <t>ベット</t>
    </rPh>
    <phoneticPr fontId="2"/>
  </si>
  <si>
    <t>現価係数</t>
    <rPh sb="0" eb="2">
      <t>ゲンカ</t>
    </rPh>
    <rPh sb="2" eb="4">
      <t>ケイスウ</t>
    </rPh>
    <phoneticPr fontId="2"/>
  </si>
  <si>
    <t>←X2~X5は同額なので、先に合計してショートカットできる</t>
    <rPh sb="7" eb="9">
      <t>ドウガク</t>
    </rPh>
    <rPh sb="13" eb="14">
      <t>サキ</t>
    </rPh>
    <rPh sb="15" eb="17">
      <t>ゴウケイ</t>
    </rPh>
    <phoneticPr fontId="2"/>
  </si>
  <si>
    <t>(設問1)の左側解答欄｢第X1年度末の差額CF｣は解き方が割れる難問です。詳細は受験校解説をお使いください。</t>
    <rPh sb="1" eb="3">
      <t>セツモン</t>
    </rPh>
    <rPh sb="6" eb="8">
      <t>ヒダリガワ</t>
    </rPh>
    <rPh sb="8" eb="11">
      <t>カイトウラン</t>
    </rPh>
    <rPh sb="12" eb="13">
      <t>ダイ</t>
    </rPh>
    <rPh sb="15" eb="18">
      <t>ネンドマツ</t>
    </rPh>
    <rPh sb="19" eb="21">
      <t>サガク</t>
    </rPh>
    <rPh sb="25" eb="26">
      <t>ト</t>
    </rPh>
    <rPh sb="27" eb="28">
      <t>カタ</t>
    </rPh>
    <rPh sb="29" eb="30">
      <t>ワ</t>
    </rPh>
    <rPh sb="32" eb="34">
      <t>ナンモン</t>
    </rPh>
    <rPh sb="37" eb="39">
      <t>ショウサイ</t>
    </rPh>
    <rPh sb="40" eb="43">
      <t>ジュケンコウ</t>
    </rPh>
    <rPh sb="43" eb="45">
      <t>カイセツ</t>
    </rPh>
    <rPh sb="47" eb="48">
      <t>ツカ</t>
    </rPh>
    <phoneticPr fontId="2"/>
  </si>
  <si>
    <t>第X1年度末における差額CF</t>
    <rPh sb="0" eb="1">
      <t>ダイ</t>
    </rPh>
    <rPh sb="3" eb="5">
      <t>ネンド</t>
    </rPh>
    <rPh sb="5" eb="6">
      <t>マツ</t>
    </rPh>
    <rPh sb="10" eb="12">
      <t>サガク</t>
    </rPh>
    <phoneticPr fontId="2"/>
  </si>
  <si>
    <t>A：単純解答</t>
    <rPh sb="2" eb="4">
      <t>タンジュン</t>
    </rPh>
    <rPh sb="4" eb="6">
      <t>カイトウ</t>
    </rPh>
    <phoneticPr fontId="2"/>
  </si>
  <si>
    <t>B：受験校解答</t>
    <rPh sb="2" eb="4">
      <t>ジュケン</t>
    </rPh>
    <rPh sb="4" eb="5">
      <t>コウ</t>
    </rPh>
    <rPh sb="5" eb="7">
      <t>カイトウ</t>
    </rPh>
    <phoneticPr fontId="2"/>
  </si>
  <si>
    <t>※受験校解答は、｢X1年度末の税引前利益｣を正確に捉え、旧設備除却損/費用▲60を考慮する。</t>
    <rPh sb="1" eb="3">
      <t>ジュケン</t>
    </rPh>
    <rPh sb="3" eb="4">
      <t>コウ</t>
    </rPh>
    <rPh sb="4" eb="6">
      <t>カイトウ</t>
    </rPh>
    <rPh sb="11" eb="14">
      <t>ネンドマツ</t>
    </rPh>
    <rPh sb="15" eb="17">
      <t>ゼイビキ</t>
    </rPh>
    <rPh sb="17" eb="18">
      <t>マエ</t>
    </rPh>
    <rPh sb="18" eb="20">
      <t>リエキ</t>
    </rPh>
    <rPh sb="22" eb="24">
      <t>セイカク</t>
    </rPh>
    <rPh sb="25" eb="26">
      <t>トラ</t>
    </rPh>
    <rPh sb="28" eb="31">
      <t>キュウセツビ</t>
    </rPh>
    <rPh sb="31" eb="33">
      <t>ジョキャク</t>
    </rPh>
    <rPh sb="33" eb="34">
      <t>ソン</t>
    </rPh>
    <rPh sb="35" eb="37">
      <t>ヒヨウ</t>
    </rPh>
    <rPh sb="41" eb="43">
      <t>コウリョ</t>
    </rPh>
    <phoneticPr fontId="2"/>
  </si>
  <si>
    <t xml:space="preserve">   もちろんそちらが正解になるが処理が複雑すぎるため、単純解答(A)でも同じ得点と考えて良い。</t>
    <rPh sb="11" eb="13">
      <t>セイカイ</t>
    </rPh>
    <rPh sb="17" eb="19">
      <t>ショリ</t>
    </rPh>
    <rPh sb="20" eb="22">
      <t>フクザツ</t>
    </rPh>
    <rPh sb="28" eb="30">
      <t>タンジュン</t>
    </rPh>
    <rPh sb="30" eb="32">
      <t>カイトウ</t>
    </rPh>
    <rPh sb="37" eb="38">
      <t>オナ</t>
    </rPh>
    <rPh sb="39" eb="41">
      <t>トクテン</t>
    </rPh>
    <rPh sb="42" eb="43">
      <t>カンガ</t>
    </rPh>
    <rPh sb="45" eb="46">
      <t>ヨ</t>
    </rPh>
    <phoneticPr fontId="2"/>
  </si>
  <si>
    <t>税引前利益の差</t>
    <rPh sb="0" eb="2">
      <t>ゼイビ</t>
    </rPh>
    <rPh sb="2" eb="3">
      <t>マエ</t>
    </rPh>
    <rPh sb="3" eb="5">
      <t>リエキ</t>
    </rPh>
    <rPh sb="6" eb="7">
      <t>サ</t>
    </rPh>
    <phoneticPr fontId="2"/>
  </si>
  <si>
    <t>税引後CIFボックスの差額(＋40)</t>
    <phoneticPr fontId="2"/>
  </si>
  <si>
    <t>+旧設備除却損/費用(▲60、X1期首)</t>
    <phoneticPr fontId="2"/>
  </si>
  <si>
    <t>税金支出の差</t>
    <rPh sb="0" eb="2">
      <t>ゼイキン</t>
    </rPh>
    <rPh sb="2" eb="4">
      <t>シシュツ</t>
    </rPh>
    <rPh sb="5" eb="6">
      <t>サ</t>
    </rPh>
    <phoneticPr fontId="2"/>
  </si>
  <si>
    <t>税引後CIFボックスの差額＋前期売却損TS18戻り</t>
    <rPh sb="0" eb="2">
      <t>ゼイビ</t>
    </rPh>
    <rPh sb="2" eb="3">
      <t>ゴ</t>
    </rPh>
    <rPh sb="11" eb="13">
      <t>サガク</t>
    </rPh>
    <rPh sb="14" eb="16">
      <t>ゼンキ</t>
    </rPh>
    <rPh sb="16" eb="19">
      <t>バイキャクソン</t>
    </rPh>
    <rPh sb="23" eb="24">
      <t>モド</t>
    </rPh>
    <phoneticPr fontId="2"/>
  </si>
  <si>
    <t>税引後利益の差</t>
    <rPh sb="0" eb="2">
      <t>ゼイビ</t>
    </rPh>
    <rPh sb="2" eb="3">
      <t>ゴ</t>
    </rPh>
    <rPh sb="3" eb="5">
      <t>リエキ</t>
    </rPh>
    <rPh sb="6" eb="7">
      <t>サ</t>
    </rPh>
    <phoneticPr fontId="2"/>
  </si>
  <si>
    <t>非現金支出項目の差</t>
    <rPh sb="0" eb="1">
      <t>ヒ</t>
    </rPh>
    <rPh sb="1" eb="3">
      <t>ゲンキン</t>
    </rPh>
    <rPh sb="3" eb="5">
      <t>シシュツ</t>
    </rPh>
    <rPh sb="5" eb="7">
      <t>コウモク</t>
    </rPh>
    <rPh sb="8" eb="9">
      <t>サ</t>
    </rPh>
    <phoneticPr fontId="2"/>
  </si>
  <si>
    <t>税引後CIFボックスの差額(減価償却費＋30)</t>
    <rPh sb="14" eb="16">
      <t>ゲンカ</t>
    </rPh>
    <rPh sb="16" eb="18">
      <t>ショウキャク</t>
    </rPh>
    <rPh sb="18" eb="19">
      <t>ヒ</t>
    </rPh>
    <phoneticPr fontId="2"/>
  </si>
  <si>
    <t>+旧設備除却損/費用の戻り(＋60、X1期首)</t>
    <rPh sb="11" eb="12">
      <t>モド</t>
    </rPh>
    <phoneticPr fontId="2"/>
  </si>
  <si>
    <t>第XI年度末の差額CF</t>
    <rPh sb="0" eb="1">
      <t>ダイ</t>
    </rPh>
    <rPh sb="3" eb="6">
      <t>ネンドマツ</t>
    </rPh>
    <rPh sb="7" eb="9">
      <t>サガク</t>
    </rPh>
    <phoneticPr fontId="2"/>
  </si>
  <si>
    <t>第6問 企業価値 デリバティブ等</t>
    <rPh sb="0" eb="1">
      <t>ダイ</t>
    </rPh>
    <rPh sb="2" eb="3">
      <t>モン</t>
    </rPh>
    <rPh sb="4" eb="6">
      <t>キギョウ</t>
    </rPh>
    <rPh sb="6" eb="8">
      <t>カチ</t>
    </rPh>
    <rPh sb="15" eb="16">
      <t>トウ</t>
    </rPh>
    <phoneticPr fontId="2"/>
  </si>
  <si>
    <t>税引後コスト</t>
    <rPh sb="0" eb="3">
      <t>ゼイビキゴ</t>
    </rPh>
    <phoneticPr fontId="2"/>
  </si>
  <si>
    <t>WACC(加重平均)</t>
    <rPh sb="5" eb="7">
      <t>カジュウ</t>
    </rPh>
    <rPh sb="7" eb="9">
      <t>ヘイキン</t>
    </rPh>
    <phoneticPr fontId="2"/>
  </si>
  <si>
    <t>安全利子率</t>
    <rPh sb="0" eb="2">
      <t>アンゼン</t>
    </rPh>
    <rPh sb="2" eb="5">
      <t>リシリツ</t>
    </rPh>
    <phoneticPr fontId="2"/>
  </si>
  <si>
    <t>市場リスク</t>
    <rPh sb="0" eb="2">
      <t>シジョウ</t>
    </rPh>
    <phoneticPr fontId="2"/>
  </si>
  <si>
    <t>β＝１</t>
    <phoneticPr fontId="2"/>
  </si>
  <si>
    <t>配当割引モデル</t>
    <rPh sb="0" eb="2">
      <t>ハイトウ</t>
    </rPh>
    <rPh sb="2" eb="4">
      <t>ワリビキ</t>
    </rPh>
    <phoneticPr fontId="2"/>
  </si>
  <si>
    <t>株価</t>
    <rPh sb="0" eb="2">
      <t>カブカ</t>
    </rPh>
    <phoneticPr fontId="2"/>
  </si>
  <si>
    <t>配当</t>
    <rPh sb="0" eb="2">
      <t>ハイトウ</t>
    </rPh>
    <phoneticPr fontId="2"/>
  </si>
  <si>
    <t>成長率g</t>
    <rPh sb="0" eb="3">
      <t>セイチョウリツ</t>
    </rPh>
    <phoneticPr fontId="2"/>
  </si>
  <si>
    <t>自己資本コスト-ｇ</t>
    <rPh sb="0" eb="4">
      <t>ジコシホン</t>
    </rPh>
    <phoneticPr fontId="2"/>
  </si>
  <si>
    <t>FCFの算定(公式利用)</t>
    <rPh sb="4" eb="6">
      <t>サンテイ</t>
    </rPh>
    <rPh sb="7" eb="9">
      <t>コウシキ</t>
    </rPh>
    <rPh sb="9" eb="11">
      <t>リヨウ</t>
    </rPh>
    <phoneticPr fontId="2"/>
  </si>
  <si>
    <t>FCF＝</t>
    <phoneticPr fontId="2"/>
  </si>
  <si>
    <t>×(1-t)</t>
    <phoneticPr fontId="2"/>
  </si>
  <si>
    <t>+減価償却費</t>
    <phoneticPr fontId="2"/>
  </si>
  <si>
    <t>±運転資本増減</t>
    <rPh sb="1" eb="3">
      <t>ウンテン</t>
    </rPh>
    <rPh sb="3" eb="5">
      <t>シホン</t>
    </rPh>
    <rPh sb="5" eb="7">
      <t>ゾウゲン</t>
    </rPh>
    <phoneticPr fontId="2"/>
  </si>
  <si>
    <t>ー設備投資額</t>
    <rPh sb="1" eb="6">
      <t>セツビトウシガク</t>
    </rPh>
    <phoneticPr fontId="2"/>
  </si>
  <si>
    <t>＋減価償却費</t>
    <rPh sb="1" eb="6">
      <t>ゲンカショウキャクヒ</t>
    </rPh>
    <phoneticPr fontId="2"/>
  </si>
  <si>
    <t>FCF</t>
  </si>
  <si>
    <t>FCF</t>
    <phoneticPr fontId="2"/>
  </si>
  <si>
    <t>←ここの±で混乱しやすい。自分の疑問を浮かべて得意な人に聞いておく</t>
    <rPh sb="6" eb="8">
      <t>コンラン</t>
    </rPh>
    <rPh sb="13" eb="15">
      <t>ジブン</t>
    </rPh>
    <rPh sb="16" eb="18">
      <t>ギモン</t>
    </rPh>
    <rPh sb="19" eb="20">
      <t>ウ</t>
    </rPh>
    <rPh sb="23" eb="25">
      <t>トクイ</t>
    </rPh>
    <rPh sb="26" eb="27">
      <t>ヒト</t>
    </rPh>
    <rPh sb="28" eb="29">
      <t>キ</t>
    </rPh>
    <phoneticPr fontId="2"/>
  </si>
  <si>
    <t>第1期</t>
    <rPh sb="0" eb="1">
      <t>ダイ</t>
    </rPh>
    <rPh sb="2" eb="3">
      <t>キ</t>
    </rPh>
    <phoneticPr fontId="2"/>
  </si>
  <si>
    <t>第2期</t>
    <rPh sb="0" eb="1">
      <t>ダイ</t>
    </rPh>
    <rPh sb="2" eb="3">
      <t>キ</t>
    </rPh>
    <phoneticPr fontId="2"/>
  </si>
  <si>
    <t>第3期</t>
    <rPh sb="0" eb="1">
      <t>ダイ</t>
    </rPh>
    <rPh sb="2" eb="3">
      <t>キ</t>
    </rPh>
    <phoneticPr fontId="2"/>
  </si>
  <si>
    <t>売上原価率</t>
    <rPh sb="0" eb="2">
      <t>ウリアゲ</t>
    </rPh>
    <rPh sb="2" eb="5">
      <t>ゲンカリツ</t>
    </rPh>
    <phoneticPr fontId="2"/>
  </si>
  <si>
    <t>販管費</t>
    <rPh sb="0" eb="3">
      <t>ハンカンヒ</t>
    </rPh>
    <phoneticPr fontId="2"/>
  </si>
  <si>
    <t xml:space="preserve"> 設備投資額</t>
    <rPh sb="1" eb="3">
      <t>セツビ</t>
    </rPh>
    <rPh sb="3" eb="6">
      <t>トウシガク</t>
    </rPh>
    <phoneticPr fontId="2"/>
  </si>
  <si>
    <t xml:space="preserve"> 運転資本増加額</t>
    <rPh sb="1" eb="3">
      <t>ウンテン</t>
    </rPh>
    <rPh sb="3" eb="5">
      <t>シホン</t>
    </rPh>
    <rPh sb="5" eb="8">
      <t>ゾウカガク</t>
    </rPh>
    <phoneticPr fontId="2"/>
  </si>
  <si>
    <t>営業利益×(1-t)</t>
    <rPh sb="0" eb="4">
      <t>エイギョウリエキ</t>
    </rPh>
    <phoneticPr fontId="2"/>
  </si>
  <si>
    <t>←定率成長2%</t>
    <rPh sb="1" eb="5">
      <t>テイリツセイチョウ</t>
    </rPh>
    <phoneticPr fontId="2"/>
  </si>
  <si>
    <t>第1期分</t>
    <rPh sb="0" eb="1">
      <t>ダイ</t>
    </rPh>
    <rPh sb="2" eb="3">
      <t>キ</t>
    </rPh>
    <rPh sb="3" eb="4">
      <t>ブン</t>
    </rPh>
    <phoneticPr fontId="2"/>
  </si>
  <si>
    <t>第2期分</t>
    <rPh sb="0" eb="1">
      <t>ダイ</t>
    </rPh>
    <rPh sb="2" eb="4">
      <t>キブン</t>
    </rPh>
    <phoneticPr fontId="2"/>
  </si>
  <si>
    <t>永続価値分</t>
    <rPh sb="0" eb="2">
      <t>エイゾク</t>
    </rPh>
    <rPh sb="2" eb="5">
      <t>カチブン</t>
    </rPh>
    <phoneticPr fontId="2"/>
  </si>
  <si>
    <t>WACC</t>
    <phoneticPr fontId="2"/>
  </si>
  <si>
    <t>永続価値</t>
    <rPh sb="0" eb="2">
      <t>エイゾク</t>
    </rPh>
    <rPh sb="2" eb="4">
      <t>カチ</t>
    </rPh>
    <phoneticPr fontId="2"/>
  </si>
  <si>
    <t>WACC-g</t>
    <phoneticPr fontId="2"/>
  </si>
  <si>
    <t>第0期</t>
    <rPh sb="0" eb="1">
      <t>ダイ</t>
    </rPh>
    <rPh sb="2" eb="3">
      <t>キ</t>
    </rPh>
    <phoneticPr fontId="2"/>
  </si>
  <si>
    <t>企業価値</t>
    <rPh sb="0" eb="4">
      <t>キギョウカチ</t>
    </rPh>
    <phoneticPr fontId="2"/>
  </si>
  <si>
    <t>企業価値・・定率成長モデルにおける企業価値計算をタイムテーブルで書いて体得する良問</t>
    <rPh sb="0" eb="2">
      <t>キギョウ</t>
    </rPh>
    <rPh sb="2" eb="4">
      <t>カチ</t>
    </rPh>
    <rPh sb="6" eb="8">
      <t>テイリツ</t>
    </rPh>
    <rPh sb="8" eb="10">
      <t>セイチョウ</t>
    </rPh>
    <rPh sb="17" eb="19">
      <t>キギョウ</t>
    </rPh>
    <rPh sb="19" eb="21">
      <t>カチ</t>
    </rPh>
    <rPh sb="21" eb="23">
      <t>ケイサン</t>
    </rPh>
    <rPh sb="32" eb="33">
      <t>カ</t>
    </rPh>
    <rPh sb="35" eb="37">
      <t>タイトク</t>
    </rPh>
    <rPh sb="39" eb="41">
      <t>リョウモン</t>
    </rPh>
    <phoneticPr fontId="2"/>
  </si>
  <si>
    <t>為替予約</t>
    <rPh sb="0" eb="4">
      <t>カワセヨヤク</t>
    </rPh>
    <phoneticPr fontId="2"/>
  </si>
  <si>
    <t>A</t>
    <phoneticPr fontId="2"/>
  </si>
  <si>
    <t>B</t>
    <phoneticPr fontId="2"/>
  </si>
  <si>
    <t>円売りドル買い</t>
    <rPh sb="0" eb="2">
      <t>エンウ</t>
    </rPh>
    <rPh sb="5" eb="6">
      <t>カ</t>
    </rPh>
    <phoneticPr fontId="2"/>
  </si>
  <si>
    <t>ドル売り円買い</t>
    <rPh sb="2" eb="3">
      <t>ウ</t>
    </rPh>
    <rPh sb="4" eb="5">
      <t>エン</t>
    </rPh>
    <rPh sb="5" eb="6">
      <t>カ</t>
    </rPh>
    <phoneticPr fontId="2"/>
  </si>
  <si>
    <t>通貨オプション</t>
    <rPh sb="0" eb="2">
      <t>ツウカ</t>
    </rPh>
    <phoneticPr fontId="2"/>
  </si>
  <si>
    <t>ドル売りのプットオプションを購入し、行使時の為替が円高なら行使、円安なら放棄する</t>
    <rPh sb="2" eb="3">
      <t>ウ</t>
    </rPh>
    <rPh sb="14" eb="16">
      <t>コウニュウ</t>
    </rPh>
    <rPh sb="18" eb="20">
      <t>コウシ</t>
    </rPh>
    <rPh sb="20" eb="21">
      <t>ジ</t>
    </rPh>
    <rPh sb="22" eb="24">
      <t>カワセ</t>
    </rPh>
    <rPh sb="25" eb="27">
      <t>エンダカ</t>
    </rPh>
    <rPh sb="29" eb="31">
      <t>コウシ</t>
    </rPh>
    <rPh sb="32" eb="34">
      <t>エンヤス</t>
    </rPh>
    <rPh sb="36" eb="38">
      <t>ホウキ</t>
    </rPh>
    <phoneticPr fontId="2"/>
  </si>
  <si>
    <t>ドル買いのコールオプションを購入し、行使時の為替が円安なら行使、円高なら放棄する</t>
    <rPh sb="2" eb="3">
      <t>カ</t>
    </rPh>
    <rPh sb="14" eb="16">
      <t>コウニュウ</t>
    </rPh>
    <rPh sb="18" eb="20">
      <t>コウシ</t>
    </rPh>
    <rPh sb="20" eb="21">
      <t>ジ</t>
    </rPh>
    <rPh sb="22" eb="24">
      <t>カワセ</t>
    </rPh>
    <rPh sb="25" eb="27">
      <t>エンヤス</t>
    </rPh>
    <rPh sb="29" eb="31">
      <t>コウシ</t>
    </rPh>
    <rPh sb="32" eb="34">
      <t>エンダカ</t>
    </rPh>
    <rPh sb="36" eb="38">
      <t>ホウキ</t>
    </rPh>
    <phoneticPr fontId="2"/>
  </si>
  <si>
    <t>全問終了</t>
    <rPh sb="0" eb="2">
      <t>ゼンモン</t>
    </rPh>
    <rPh sb="2" eb="4">
      <t>シュウリョウ</t>
    </rPh>
    <phoneticPr fontId="2"/>
  </si>
  <si>
    <t>第6期</t>
    <rPh sb="0" eb="1">
      <t>ダイ</t>
    </rPh>
    <rPh sb="2" eb="3">
      <t>キ</t>
    </rPh>
    <phoneticPr fontId="2"/>
  </si>
  <si>
    <t>第7期</t>
    <rPh sb="0" eb="1">
      <t>ダイ</t>
    </rPh>
    <rPh sb="2" eb="3">
      <t>キ</t>
    </rPh>
    <phoneticPr fontId="2"/>
  </si>
  <si>
    <t>第8期</t>
    <rPh sb="0" eb="1">
      <t>ダイ</t>
    </rPh>
    <rPh sb="2" eb="3">
      <t>キ</t>
    </rPh>
    <phoneticPr fontId="2"/>
  </si>
  <si>
    <t>第9期</t>
    <rPh sb="0" eb="1">
      <t>ダイ</t>
    </rPh>
    <rPh sb="2" eb="3">
      <t>キ</t>
    </rPh>
    <phoneticPr fontId="2"/>
  </si>
  <si>
    <t>第10期</t>
    <rPh sb="0" eb="1">
      <t>ダイ</t>
    </rPh>
    <rPh sb="3" eb="4">
      <t>キ</t>
    </rPh>
    <phoneticPr fontId="2"/>
  </si>
  <si>
    <t xml:space="preserve"> 設備投資額</t>
    <rPh sb="1" eb="3">
      <t>セツビ</t>
    </rPh>
    <rPh sb="3" eb="5">
      <t>トウシ</t>
    </rPh>
    <rPh sb="5" eb="6">
      <t>ガク</t>
    </rPh>
    <phoneticPr fontId="2"/>
  </si>
  <si>
    <t>現価係数</t>
    <rPh sb="0" eb="4">
      <t>ゲンカケイスウ</t>
    </rPh>
    <phoneticPr fontId="2"/>
  </si>
  <si>
    <t>PV</t>
    <phoneticPr fontId="2"/>
  </si>
  <si>
    <t>非事業資産</t>
    <rPh sb="0" eb="1">
      <t>ヒ</t>
    </rPh>
    <rPh sb="1" eb="3">
      <t>ジギョウ</t>
    </rPh>
    <rPh sb="3" eb="5">
      <t>シサン</t>
    </rPh>
    <phoneticPr fontId="2"/>
  </si>
  <si>
    <t>現在</t>
    <rPh sb="0" eb="2">
      <t>ゲンザイ</t>
    </rPh>
    <phoneticPr fontId="2"/>
  </si>
  <si>
    <t>決済日</t>
    <rPh sb="0" eb="3">
      <t>ケッサイビ</t>
    </rPh>
    <phoneticPr fontId="2"/>
  </si>
  <si>
    <t>商品代金</t>
    <rPh sb="0" eb="2">
      <t>ショウヒン</t>
    </rPh>
    <rPh sb="2" eb="4">
      <t>ダイキン</t>
    </rPh>
    <phoneticPr fontId="2"/>
  </si>
  <si>
    <t>オプションを行使し、△10万円の損失となる。</t>
    <rPh sb="6" eb="8">
      <t>コウシ</t>
    </rPh>
    <rPh sb="13" eb="15">
      <t>マンエン</t>
    </rPh>
    <rPh sb="16" eb="18">
      <t>ソンシツ</t>
    </rPh>
    <phoneticPr fontId="2"/>
  </si>
  <si>
    <t>オプションを放棄し、＋100万円の為替利益と△10万円のオプション料により90万円の利益を得る。</t>
    <rPh sb="6" eb="8">
      <t>ホウキ</t>
    </rPh>
    <rPh sb="14" eb="16">
      <t>マンエン</t>
    </rPh>
    <rPh sb="17" eb="21">
      <t>カワセリエキ</t>
    </rPh>
    <rPh sb="25" eb="27">
      <t>マンエン</t>
    </rPh>
    <rPh sb="33" eb="34">
      <t>リョウ</t>
    </rPh>
    <rPh sb="39" eb="41">
      <t>マンエン</t>
    </rPh>
    <rPh sb="42" eb="44">
      <t>リエキ</t>
    </rPh>
    <rPh sb="45" eb="46">
      <t>エ</t>
    </rPh>
    <phoneticPr fontId="2"/>
  </si>
  <si>
    <t>当問はTAC赤本と同じ設問</t>
    <rPh sb="0" eb="2">
      <t>トウモン</t>
    </rPh>
    <rPh sb="6" eb="8">
      <t>アカホン</t>
    </rPh>
    <rPh sb="9" eb="10">
      <t>オナ</t>
    </rPh>
    <rPh sb="11" eb="13">
      <t>セツモン</t>
    </rPh>
    <phoneticPr fontId="2"/>
  </si>
  <si>
    <t>過去問 H30 第2問改題</t>
    <rPh sb="0" eb="3">
      <t>カコモン</t>
    </rPh>
    <rPh sb="8" eb="9">
      <t>ダイ</t>
    </rPh>
    <rPh sb="10" eb="11">
      <t>モン</t>
    </rPh>
    <rPh sb="11" eb="13">
      <t>カイダイ</t>
    </rPh>
    <phoneticPr fontId="2"/>
  </si>
  <si>
    <t>※H30の過去問エクセルを一旦そのまま貼り付け</t>
    <rPh sb="5" eb="8">
      <t>カコモン</t>
    </rPh>
    <rPh sb="13" eb="15">
      <t>イッタン</t>
    </rPh>
    <rPh sb="19" eb="20">
      <t>ハ</t>
    </rPh>
    <rPh sb="21" eb="22">
      <t>ツ</t>
    </rPh>
    <phoneticPr fontId="2"/>
  </si>
  <si>
    <t>資本コスト</t>
    <rPh sb="0" eb="2">
      <t>シホン</t>
    </rPh>
    <phoneticPr fontId="2"/>
  </si>
  <si>
    <t>税引後</t>
    <rPh sb="0" eb="2">
      <t>ゼイビキ</t>
    </rPh>
    <rPh sb="2" eb="3">
      <t>ゴ</t>
    </rPh>
    <phoneticPr fontId="2"/>
  </si>
  <si>
    <t>①WACCの計算</t>
    <rPh sb="6" eb="8">
      <t>ケイサン</t>
    </rPh>
    <phoneticPr fontId="2"/>
  </si>
  <si>
    <t>参考：｢財務｣H28第16問 配当割引モデル＋企業価値</t>
    <rPh sb="0" eb="2">
      <t>サンコウ</t>
    </rPh>
    <rPh sb="4" eb="6">
      <t>ザイム</t>
    </rPh>
    <rPh sb="10" eb="11">
      <t>ダイ</t>
    </rPh>
    <rPh sb="13" eb="14">
      <t>モン</t>
    </rPh>
    <rPh sb="15" eb="17">
      <t>ハイトウ</t>
    </rPh>
    <rPh sb="17" eb="19">
      <t>ワリビキ</t>
    </rPh>
    <rPh sb="23" eb="25">
      <t>キギョウ</t>
    </rPh>
    <rPh sb="25" eb="27">
      <t>カチ</t>
    </rPh>
    <phoneticPr fontId="2"/>
  </si>
  <si>
    <t>②資産の増加額と要求CF</t>
    <rPh sb="1" eb="3">
      <t>シサン</t>
    </rPh>
    <rPh sb="4" eb="6">
      <t>ゾウカ</t>
    </rPh>
    <rPh sb="6" eb="7">
      <t>ガク</t>
    </rPh>
    <rPh sb="8" eb="10">
      <t>ヨウキュウ</t>
    </rPh>
    <phoneticPr fontId="2"/>
  </si>
  <si>
    <t>増加資産</t>
    <rPh sb="0" eb="2">
      <t>ゾウカ</t>
    </rPh>
    <rPh sb="2" eb="4">
      <t>シサン</t>
    </rPh>
    <phoneticPr fontId="2"/>
  </si>
  <si>
    <t>増加負債</t>
    <rPh sb="0" eb="2">
      <t>ゾウカ</t>
    </rPh>
    <rPh sb="2" eb="4">
      <t>フサイ</t>
    </rPh>
    <phoneticPr fontId="2"/>
  </si>
  <si>
    <t>増加額(NET)</t>
    <rPh sb="0" eb="2">
      <t>ゾウカ</t>
    </rPh>
    <rPh sb="2" eb="3">
      <t>ガク</t>
    </rPh>
    <phoneticPr fontId="2"/>
  </si>
  <si>
    <t>初年度の要求CF</t>
    <rPh sb="0" eb="3">
      <t>ショネンド</t>
    </rPh>
    <rPh sb="4" eb="6">
      <t>ヨウキュウ</t>
    </rPh>
    <phoneticPr fontId="2"/>
  </si>
  <si>
    <t>百万円</t>
    <rPh sb="0" eb="3">
      <t>ヒャクマンエン</t>
    </rPh>
    <phoneticPr fontId="2"/>
  </si>
  <si>
    <t>吸収合併により増加したCF(税引後CIFボックス)</t>
    <rPh sb="0" eb="2">
      <t>キュウシュウ</t>
    </rPh>
    <rPh sb="2" eb="4">
      <t>ガッペイ</t>
    </rPh>
    <rPh sb="7" eb="9">
      <t>ゾウカ</t>
    </rPh>
    <rPh sb="14" eb="16">
      <t>ゼイビキ</t>
    </rPh>
    <rPh sb="16" eb="17">
      <t>ゴ</t>
    </rPh>
    <phoneticPr fontId="2"/>
  </si>
  <si>
    <t>非資金費用</t>
    <rPh sb="0" eb="1">
      <t>ヒ</t>
    </rPh>
    <rPh sb="1" eb="3">
      <t>シキン</t>
    </rPh>
    <rPh sb="3" eb="5">
      <t>ヒヨウ</t>
    </rPh>
    <phoneticPr fontId="2"/>
  </si>
  <si>
    <t>税引前利益</t>
    <rPh sb="0" eb="2">
      <t>ゼイビキ</t>
    </rPh>
    <rPh sb="2" eb="3">
      <t>マエ</t>
    </rPh>
    <rPh sb="3" eb="5">
      <t>リエキ</t>
    </rPh>
    <phoneticPr fontId="2"/>
  </si>
  <si>
    <t>V企業価値</t>
    <rPh sb="1" eb="3">
      <t>キギョウ</t>
    </rPh>
    <rPh sb="3" eb="5">
      <t>カチ</t>
    </rPh>
    <phoneticPr fontId="2"/>
  </si>
  <si>
    <t>1年後の配当</t>
    <rPh sb="1" eb="3">
      <t>ネンゴ</t>
    </rPh>
    <rPh sb="4" eb="6">
      <t>ハイトウ</t>
    </rPh>
    <phoneticPr fontId="2"/>
  </si>
  <si>
    <t>うち税金</t>
    <rPh sb="2" eb="4">
      <t>ゼイキン</t>
    </rPh>
    <phoneticPr fontId="2"/>
  </si>
  <si>
    <t>＝</t>
    <phoneticPr fontId="2"/>
  </si>
  <si>
    <t>－成長率g</t>
    <phoneticPr fontId="2"/>
  </si>
  <si>
    <t>税引後CF</t>
    <rPh sb="0" eb="2">
      <t>ゼイビキ</t>
    </rPh>
    <rPh sb="2" eb="3">
      <t>ゴ</t>
    </rPh>
    <phoneticPr fontId="2"/>
  </si>
  <si>
    <t>正解エ</t>
    <rPh sb="0" eb="2">
      <t>セイカイ</t>
    </rPh>
    <phoneticPr fontId="2"/>
  </si>
  <si>
    <t>増加した税引後CF3.80は、増加資産から要求されるCF6.27を上回り、企業価値向上につながっていない。</t>
    <rPh sb="0" eb="2">
      <t>ゾウカ</t>
    </rPh>
    <rPh sb="4" eb="6">
      <t>ゼイビキ</t>
    </rPh>
    <rPh sb="6" eb="7">
      <t>ゴ</t>
    </rPh>
    <rPh sb="15" eb="17">
      <t>ゾウカ</t>
    </rPh>
    <rPh sb="17" eb="19">
      <t>シサン</t>
    </rPh>
    <rPh sb="21" eb="23">
      <t>ヨウキュウ</t>
    </rPh>
    <rPh sb="33" eb="35">
      <t>ウワマワ</t>
    </rPh>
    <rPh sb="37" eb="39">
      <t>キギョウ</t>
    </rPh>
    <rPh sb="39" eb="41">
      <t>カチ</t>
    </rPh>
    <rPh sb="41" eb="43">
      <t>コウジョウ</t>
    </rPh>
    <phoneticPr fontId="2"/>
  </si>
  <si>
    <t>定率成長モデル</t>
    <rPh sb="0" eb="2">
      <t>テイリツ</t>
    </rPh>
    <rPh sb="2" eb="4">
      <t>セイチョウ</t>
    </rPh>
    <phoneticPr fontId="2"/>
  </si>
  <si>
    <t>増加資産額</t>
    <rPh sb="0" eb="2">
      <t>ゾウカ</t>
    </rPh>
    <rPh sb="2" eb="4">
      <t>シサン</t>
    </rPh>
    <rPh sb="4" eb="5">
      <t>ガク</t>
    </rPh>
    <phoneticPr fontId="2"/>
  </si>
  <si>
    <t>税引後CF(FCF)</t>
    <rPh sb="0" eb="2">
      <t>ゼイビキ</t>
    </rPh>
    <rPh sb="2" eb="3">
      <t>ゴ</t>
    </rPh>
    <phoneticPr fontId="2"/>
  </si>
  <si>
    <t>×(1+g)</t>
    <phoneticPr fontId="2"/>
  </si>
  <si>
    <t>ー成長率g</t>
    <phoneticPr fontId="2"/>
  </si>
  <si>
    <t>※エクセル計算上、強引に関数で答えを計算していますが、実際は方程式で解きます。</t>
    <rPh sb="5" eb="8">
      <t>ケイサンジョウ</t>
    </rPh>
    <rPh sb="9" eb="11">
      <t>ゴウイン</t>
    </rPh>
    <rPh sb="12" eb="14">
      <t>カンスウ</t>
    </rPh>
    <rPh sb="15" eb="16">
      <t>コタ</t>
    </rPh>
    <rPh sb="18" eb="20">
      <t>ケイサン</t>
    </rPh>
    <rPh sb="27" eb="29">
      <t>ジッサイ</t>
    </rPh>
    <rPh sb="30" eb="33">
      <t>ホウテイシキ</t>
    </rPh>
    <rPh sb="34" eb="35">
      <t>ト</t>
    </rPh>
    <phoneticPr fontId="2"/>
  </si>
  <si>
    <t>H30第2問は良問なので、当問を使って企業価値計算(定率成長モデル)をマスターすると良い。</t>
    <rPh sb="3" eb="4">
      <t>ダイ</t>
    </rPh>
    <rPh sb="5" eb="6">
      <t>モン</t>
    </rPh>
    <rPh sb="7" eb="9">
      <t>リョウモン</t>
    </rPh>
    <rPh sb="13" eb="15">
      <t>トウモン</t>
    </rPh>
    <rPh sb="16" eb="17">
      <t>ツカ</t>
    </rPh>
    <rPh sb="19" eb="23">
      <t>キギョウカチ</t>
    </rPh>
    <rPh sb="23" eb="25">
      <t>ケイサン</t>
    </rPh>
    <rPh sb="26" eb="28">
      <t>テイリツ</t>
    </rPh>
    <rPh sb="28" eb="30">
      <t>セイチョウ</t>
    </rPh>
    <rPh sb="42" eb="43">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</si>
</sst>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0\)"/>
    <numFmt numFmtId="177" formatCode="#,##0.0_);\(#,##0.0\)"/>
    <numFmt numFmtId="178" formatCode="0.0%"/>
    <numFmt numFmtId="179" formatCode="#,##0.0;[Red]\-#,##0.0"/>
    <numFmt numFmtId="180" formatCode="#,##0.00_);\(#,##0.00\)"/>
    <numFmt numFmtId="181" formatCode="#,##0.0000_);\(#,##0.0000\)"/>
    <numFmt numFmtId="182" formatCode="#,##0.000;[Red]\-#,##0.000"/>
    <numFmt numFmtId="183" formatCode="#,##0.0000;[Red]\-#,##0.0000"/>
    <numFmt numFmtId="184" formatCode="#,##0.00000;[Red]\-#,##0.00000"/>
    <numFmt numFmtId="185" formatCode="&quot;@&quot;#"/>
    <numFmt numFmtId="186" formatCode="\$#,##0;[Red]\-\$#,##0"/>
  </numFmts>
  <fonts count="27">
    <font>
      <sz val="10"/>
      <color theme="1"/>
      <name val="游ゴシック"/>
      <family val="2"/>
      <charset val="128"/>
      <scheme val="minor"/>
    </font>
    <font>
      <sz val="10"/>
      <color theme="1"/>
      <name val="游ゴシック"/>
      <family val="2"/>
      <charset val="128"/>
      <scheme val="minor"/>
    </font>
    <font>
      <sz val="6"/>
      <name val="游ゴシック"/>
      <family val="2"/>
      <charset val="128"/>
      <scheme val="minor"/>
    </font>
    <font>
      <b/>
      <sz val="10"/>
      <color theme="4"/>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b/>
      <sz val="10"/>
      <color theme="1"/>
      <name val="游ゴシック"/>
      <family val="3"/>
      <charset val="128"/>
      <scheme val="minor"/>
    </font>
    <font>
      <b/>
      <sz val="9"/>
      <color indexed="81"/>
      <name val="MS P ゴシック"/>
      <family val="3"/>
      <charset val="128"/>
    </font>
    <font>
      <sz val="10"/>
      <color theme="1"/>
      <name val="游ゴシック"/>
      <family val="3"/>
      <charset val="128"/>
      <scheme val="minor"/>
    </font>
    <font>
      <sz val="10"/>
      <color theme="1"/>
      <name val="游ゴシック"/>
      <family val="3"/>
      <charset val="128"/>
    </font>
    <font>
      <sz val="6"/>
      <name val="ＭＳ Ｐゴシック"/>
      <family val="3"/>
      <charset val="128"/>
    </font>
    <font>
      <sz val="10"/>
      <name val="游ゴシック"/>
      <family val="3"/>
      <charset val="128"/>
    </font>
    <font>
      <sz val="6"/>
      <name val="游ゴシック"/>
      <family val="2"/>
      <charset val="128"/>
    </font>
    <font>
      <u/>
      <sz val="10"/>
      <name val="游ゴシック"/>
      <family val="3"/>
      <charset val="128"/>
    </font>
    <font>
      <b/>
      <sz val="10"/>
      <name val="游ゴシック"/>
      <family val="3"/>
      <charset val="128"/>
    </font>
    <font>
      <i/>
      <sz val="10"/>
      <name val="游ゴシック"/>
      <family val="3"/>
      <charset val="128"/>
    </font>
    <font>
      <sz val="10"/>
      <color theme="7"/>
      <name val="游ゴシック"/>
      <family val="3"/>
      <charset val="128"/>
    </font>
    <font>
      <b/>
      <sz val="10"/>
      <color rgb="FFFF0000"/>
      <name val="游ゴシック"/>
      <family val="3"/>
      <charset val="128"/>
    </font>
    <font>
      <sz val="10"/>
      <color rgb="FFFF0000"/>
      <name val="游ゴシック"/>
      <family val="3"/>
      <charset val="128"/>
    </font>
    <font>
      <sz val="10"/>
      <color theme="4"/>
      <name val="游ゴシック"/>
      <family val="3"/>
      <charset val="128"/>
    </font>
    <font>
      <b/>
      <sz val="10"/>
      <color indexed="10"/>
      <name val="游ゴシック"/>
      <family val="3"/>
      <charset val="128"/>
    </font>
    <font>
      <sz val="10"/>
      <color indexed="8"/>
      <name val="游ゴシック"/>
      <family val="3"/>
      <charset val="128"/>
    </font>
    <font>
      <b/>
      <sz val="10"/>
      <color indexed="12"/>
      <name val="游ゴシック"/>
      <family val="3"/>
      <charset val="128"/>
    </font>
    <font>
      <i/>
      <sz val="10"/>
      <color theme="1"/>
      <name val="游ゴシック"/>
      <family val="3"/>
      <charset val="128"/>
      <scheme val="minor"/>
    </font>
    <font>
      <sz val="10"/>
      <name val="游ゴシック"/>
      <family val="3"/>
      <charset val="128"/>
      <scheme val="minor"/>
    </font>
    <font>
      <sz val="9"/>
      <color rgb="FF0000FF"/>
      <name val="游ゴシック"/>
      <family val="3"/>
      <charset val="128"/>
      <scheme val="minor"/>
    </font>
    <font>
      <sz val="10"/>
      <color rgb="FF0000FF"/>
      <name val="游ゴシック"/>
      <family val="3"/>
      <charset val="128"/>
      <scheme val="minor"/>
    </font>
  </fonts>
  <fills count="21">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indexed="9"/>
        <bgColor indexed="64"/>
      </patternFill>
    </fill>
    <fill>
      <patternFill patternType="gray125">
        <bgColor indexed="9"/>
      </patternFill>
    </fill>
    <fill>
      <patternFill patternType="solid">
        <fgColor theme="9" tint="0.39997558519241921"/>
        <bgColor indexed="64"/>
      </patternFill>
    </fill>
    <fill>
      <patternFill patternType="solid">
        <fgColor indexed="43"/>
        <bgColor indexed="9"/>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9FF99"/>
        <bgColor indexed="9"/>
      </patternFill>
    </fill>
    <fill>
      <patternFill patternType="solid">
        <fgColor theme="7" tint="0.39997558519241921"/>
        <bgColor indexed="64"/>
      </patternFill>
    </fill>
    <fill>
      <patternFill patternType="solid">
        <fgColor indexed="45"/>
        <bgColor indexed="9"/>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90">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thin">
        <color indexed="64"/>
      </top>
      <bottom style="double">
        <color indexed="64"/>
      </bottom>
      <diagonal/>
    </border>
    <border>
      <left style="hair">
        <color auto="1"/>
      </left>
      <right style="hair">
        <color auto="1"/>
      </right>
      <top style="hair">
        <color auto="1"/>
      </top>
      <bottom style="thin">
        <color indexed="64"/>
      </bottom>
      <diagonal/>
    </border>
    <border>
      <left style="hair">
        <color auto="1"/>
      </left>
      <right style="hair">
        <color auto="1"/>
      </right>
      <top style="thin">
        <color auto="1"/>
      </top>
      <bottom style="hair">
        <color auto="1"/>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n">
        <color indexed="64"/>
      </bottom>
      <diagonal/>
    </border>
    <border>
      <left style="thick">
        <color auto="1"/>
      </left>
      <right style="thick">
        <color auto="1"/>
      </right>
      <top/>
      <bottom style="thick">
        <color auto="1"/>
      </bottom>
      <diagonal/>
    </border>
    <border>
      <left/>
      <right/>
      <top style="double">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dotted">
        <color indexed="64"/>
      </top>
      <bottom style="dotted">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dotted">
        <color indexed="64"/>
      </top>
      <bottom/>
      <diagonal/>
    </border>
    <border>
      <left style="thin">
        <color indexed="64"/>
      </left>
      <right style="medium">
        <color indexed="64"/>
      </right>
      <top style="dotted">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double">
        <color indexed="64"/>
      </left>
      <right style="double">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dotted">
        <color indexed="64"/>
      </top>
      <bottom/>
      <diagonal/>
    </border>
    <border>
      <left style="thin">
        <color indexed="64"/>
      </left>
      <right/>
      <top style="thin">
        <color indexed="64"/>
      </top>
      <bottom style="thin">
        <color indexed="64"/>
      </bottom>
      <diagonal/>
    </border>
    <border diagonalUp="1">
      <left/>
      <right/>
      <top/>
      <bottom/>
      <diagonal style="thin">
        <color auto="1"/>
      </diagonal>
    </border>
    <border diagonalDown="1">
      <left/>
      <right/>
      <top/>
      <bottom/>
      <diagonal style="thin">
        <color auto="1"/>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6">
    <xf numFmtId="0" fontId="0" fillId="0" borderId="0" xfId="0">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2" borderId="2" xfId="1" applyNumberFormat="1" applyFont="1" applyFill="1" applyBorder="1">
      <alignment vertical="center"/>
    </xf>
    <xf numFmtId="176" fontId="0" fillId="2" borderId="0" xfId="1" applyNumberFormat="1" applyFont="1" applyFill="1">
      <alignment vertical="center"/>
    </xf>
    <xf numFmtId="176" fontId="3" fillId="0" borderId="0" xfId="1" applyNumberFormat="1" applyFont="1">
      <alignment vertical="center"/>
    </xf>
    <xf numFmtId="176" fontId="0" fillId="0" borderId="3" xfId="1" applyNumberFormat="1" applyFont="1" applyBorder="1">
      <alignment vertical="center"/>
    </xf>
    <xf numFmtId="176" fontId="0" fillId="0" borderId="6" xfId="1" applyNumberFormat="1" applyFont="1" applyBorder="1">
      <alignment vertical="center"/>
    </xf>
    <xf numFmtId="176" fontId="0" fillId="0" borderId="5" xfId="1" applyNumberFormat="1" applyFont="1" applyBorder="1">
      <alignment vertical="center"/>
    </xf>
    <xf numFmtId="176" fontId="0" fillId="0" borderId="7" xfId="1" applyNumberFormat="1" applyFont="1" applyBorder="1">
      <alignment vertical="center"/>
    </xf>
    <xf numFmtId="176" fontId="0" fillId="0" borderId="8" xfId="1" applyNumberFormat="1" applyFont="1" applyBorder="1">
      <alignment vertical="center"/>
    </xf>
    <xf numFmtId="176" fontId="0" fillId="0" borderId="9" xfId="1" applyNumberFormat="1" applyFont="1" applyBorder="1">
      <alignment vertical="center"/>
    </xf>
    <xf numFmtId="40" fontId="0" fillId="0" borderId="0" xfId="1" applyNumberFormat="1" applyFont="1">
      <alignment vertical="center"/>
    </xf>
    <xf numFmtId="10" fontId="0" fillId="0" borderId="0" xfId="2" applyNumberFormat="1" applyFont="1">
      <alignment vertical="center"/>
    </xf>
    <xf numFmtId="176" fontId="4" fillId="0" borderId="0" xfId="1" applyNumberFormat="1" applyFont="1">
      <alignment vertical="center"/>
    </xf>
    <xf numFmtId="176" fontId="5" fillId="0" borderId="0" xfId="1" applyNumberFormat="1" applyFont="1">
      <alignment vertical="center"/>
    </xf>
    <xf numFmtId="176" fontId="0" fillId="0" borderId="10" xfId="1" applyNumberFormat="1" applyFont="1" applyBorder="1">
      <alignment vertical="center"/>
    </xf>
    <xf numFmtId="176" fontId="0" fillId="0" borderId="11" xfId="1" applyNumberFormat="1" applyFont="1" applyBorder="1">
      <alignment vertical="center"/>
    </xf>
    <xf numFmtId="176" fontId="0" fillId="0" borderId="12" xfId="1" applyNumberFormat="1" applyFont="1" applyBorder="1">
      <alignment vertical="center"/>
    </xf>
    <xf numFmtId="176" fontId="0" fillId="0" borderId="13" xfId="1" applyNumberFormat="1" applyFont="1" applyBorder="1">
      <alignment vertical="center"/>
    </xf>
    <xf numFmtId="176" fontId="0" fillId="0" borderId="14" xfId="1" applyNumberFormat="1" applyFont="1" applyBorder="1">
      <alignment vertical="center"/>
    </xf>
    <xf numFmtId="176" fontId="0" fillId="0" borderId="15" xfId="1" applyNumberFormat="1" applyFont="1" applyBorder="1">
      <alignment vertical="center"/>
    </xf>
    <xf numFmtId="56" fontId="0" fillId="0" borderId="0" xfId="0" applyNumberFormat="1">
      <alignment vertical="center"/>
    </xf>
    <xf numFmtId="9" fontId="0" fillId="0" borderId="0" xfId="2" applyFont="1">
      <alignment vertical="center"/>
    </xf>
    <xf numFmtId="176" fontId="6" fillId="3" borderId="0" xfId="1" applyNumberFormat="1" applyFont="1" applyFill="1">
      <alignment vertical="center"/>
    </xf>
    <xf numFmtId="176" fontId="6" fillId="0" borderId="0" xfId="1" applyNumberFormat="1" applyFont="1">
      <alignment vertical="center"/>
    </xf>
    <xf numFmtId="176" fontId="6" fillId="0" borderId="9" xfId="1" applyNumberFormat="1" applyFont="1" applyBorder="1">
      <alignment vertical="center"/>
    </xf>
    <xf numFmtId="9" fontId="6" fillId="0" borderId="0" xfId="2" applyFont="1">
      <alignment vertical="center"/>
    </xf>
    <xf numFmtId="177" fontId="0" fillId="0" borderId="9" xfId="1" applyNumberFormat="1" applyFont="1" applyBorder="1">
      <alignment vertical="center"/>
    </xf>
    <xf numFmtId="176" fontId="0" fillId="0" borderId="16" xfId="1" applyNumberFormat="1" applyFont="1" applyBorder="1">
      <alignment vertical="center"/>
    </xf>
    <xf numFmtId="176" fontId="0" fillId="0" borderId="17" xfId="1" applyNumberFormat="1" applyFont="1" applyBorder="1">
      <alignment vertical="center"/>
    </xf>
    <xf numFmtId="176" fontId="0" fillId="0" borderId="18" xfId="1" applyNumberFormat="1" applyFont="1" applyBorder="1">
      <alignment vertical="center"/>
    </xf>
    <xf numFmtId="176" fontId="0" fillId="0" borderId="19" xfId="1" applyNumberFormat="1" applyFont="1" applyBorder="1">
      <alignment vertical="center"/>
    </xf>
    <xf numFmtId="9" fontId="6" fillId="3" borderId="0" xfId="2" applyFont="1" applyFill="1">
      <alignment vertical="center"/>
    </xf>
    <xf numFmtId="176" fontId="8" fillId="0" borderId="0" xfId="1" applyNumberFormat="1" applyFont="1">
      <alignment vertical="center"/>
    </xf>
    <xf numFmtId="38" fontId="8" fillId="0" borderId="0" xfId="3" applyFont="1">
      <alignment vertical="center"/>
    </xf>
    <xf numFmtId="38" fontId="6" fillId="4" borderId="0" xfId="3" applyFont="1" applyFill="1">
      <alignment vertical="center"/>
    </xf>
    <xf numFmtId="38" fontId="8" fillId="0" borderId="0" xfId="3" applyFont="1" applyBorder="1">
      <alignment vertical="center"/>
    </xf>
    <xf numFmtId="38" fontId="6" fillId="0" borderId="0" xfId="3" applyFont="1" applyBorder="1">
      <alignment vertical="center"/>
    </xf>
    <xf numFmtId="38" fontId="6" fillId="3" borderId="0" xfId="3" applyFont="1" applyFill="1">
      <alignment vertical="center"/>
    </xf>
    <xf numFmtId="38" fontId="8" fillId="0" borderId="0" xfId="3" quotePrefix="1" applyFont="1">
      <alignment vertical="center"/>
    </xf>
    <xf numFmtId="38" fontId="8" fillId="0" borderId="1" xfId="3" applyFont="1" applyBorder="1">
      <alignment vertical="center"/>
    </xf>
    <xf numFmtId="38" fontId="6" fillId="0" borderId="1" xfId="3" applyFont="1" applyBorder="1">
      <alignment vertical="center"/>
    </xf>
    <xf numFmtId="38" fontId="6" fillId="4" borderId="9" xfId="3" applyFont="1" applyFill="1" applyBorder="1">
      <alignment vertical="center"/>
    </xf>
    <xf numFmtId="38" fontId="6" fillId="3" borderId="0" xfId="1" applyFont="1" applyFill="1">
      <alignment vertical="center"/>
    </xf>
    <xf numFmtId="38" fontId="8" fillId="0" borderId="9" xfId="3" applyFont="1" applyBorder="1">
      <alignment vertical="center"/>
    </xf>
    <xf numFmtId="38" fontId="8" fillId="0" borderId="20" xfId="3" applyFont="1" applyBorder="1" applyAlignment="1">
      <alignment vertical="center"/>
    </xf>
    <xf numFmtId="38" fontId="11" fillId="0" borderId="78" xfId="1" applyFont="1" applyBorder="1" applyAlignment="1">
      <alignment horizontal="center" vertical="center" shrinkToFit="1"/>
    </xf>
    <xf numFmtId="176" fontId="8" fillId="3" borderId="0" xfId="1" applyNumberFormat="1" applyFont="1" applyFill="1">
      <alignment vertical="center"/>
    </xf>
    <xf numFmtId="176" fontId="8" fillId="0" borderId="1" xfId="1" applyNumberFormat="1" applyFont="1" applyBorder="1">
      <alignment vertical="center"/>
    </xf>
    <xf numFmtId="176" fontId="8" fillId="0" borderId="10" xfId="1" applyNumberFormat="1" applyFont="1" applyBorder="1">
      <alignment vertical="center"/>
    </xf>
    <xf numFmtId="176" fontId="8" fillId="0" borderId="11" xfId="1" applyNumberFormat="1" applyFont="1" applyBorder="1">
      <alignment vertical="center"/>
    </xf>
    <xf numFmtId="176" fontId="8" fillId="0" borderId="0" xfId="1" applyNumberFormat="1" applyFont="1" applyBorder="1">
      <alignment vertical="center"/>
    </xf>
    <xf numFmtId="176" fontId="8" fillId="0" borderId="9" xfId="1" applyNumberFormat="1" applyFont="1" applyBorder="1">
      <alignment vertical="center"/>
    </xf>
    <xf numFmtId="176" fontId="8" fillId="0" borderId="13" xfId="1" applyNumberFormat="1" applyFont="1" applyBorder="1">
      <alignment vertical="center"/>
    </xf>
    <xf numFmtId="176" fontId="8" fillId="0" borderId="15" xfId="1" applyNumberFormat="1" applyFont="1" applyBorder="1">
      <alignment vertical="center"/>
    </xf>
    <xf numFmtId="176" fontId="8" fillId="0" borderId="14" xfId="1" applyNumberFormat="1" applyFont="1" applyBorder="1">
      <alignment vertical="center"/>
    </xf>
    <xf numFmtId="176" fontId="8" fillId="0" borderId="12" xfId="1" applyNumberFormat="1" applyFont="1" applyBorder="1">
      <alignment vertical="center"/>
    </xf>
    <xf numFmtId="0" fontId="11" fillId="5" borderId="0" xfId="0" applyFont="1" applyFill="1" applyAlignment="1">
      <alignment vertical="center"/>
    </xf>
    <xf numFmtId="38" fontId="11" fillId="6" borderId="0" xfId="1" applyFont="1" applyFill="1" applyAlignment="1">
      <alignment vertical="center"/>
    </xf>
    <xf numFmtId="0" fontId="14" fillId="5" borderId="0" xfId="0" applyFont="1" applyFill="1" applyAlignment="1">
      <alignment vertical="center"/>
    </xf>
    <xf numFmtId="38" fontId="11" fillId="5" borderId="0" xfId="1" applyFont="1" applyFill="1" applyAlignment="1">
      <alignment horizontal="center" vertical="center"/>
    </xf>
    <xf numFmtId="38" fontId="11" fillId="5" borderId="0" xfId="1" applyFont="1" applyFill="1" applyAlignment="1">
      <alignment vertical="center"/>
    </xf>
    <xf numFmtId="0" fontId="11" fillId="5" borderId="0" xfId="1" applyNumberFormat="1" applyFont="1" applyFill="1" applyAlignment="1" applyProtection="1">
      <alignment vertical="center"/>
    </xf>
    <xf numFmtId="38" fontId="11" fillId="5" borderId="0" xfId="1" applyFont="1" applyFill="1" applyAlignment="1" applyProtection="1">
      <alignment vertical="center"/>
    </xf>
    <xf numFmtId="38" fontId="11" fillId="5" borderId="0" xfId="1" applyFont="1" applyFill="1" applyAlignment="1">
      <alignment horizontal="right" vertical="center"/>
    </xf>
    <xf numFmtId="38" fontId="15" fillId="0" borderId="0" xfId="1" applyFont="1" applyFill="1" applyAlignment="1" applyProtection="1">
      <alignment vertical="center"/>
    </xf>
    <xf numFmtId="38" fontId="11" fillId="5" borderId="0" xfId="1" applyFont="1" applyFill="1" applyAlignment="1">
      <alignment horizontal="right"/>
    </xf>
    <xf numFmtId="0" fontId="11" fillId="0" borderId="25" xfId="0" applyFont="1" applyBorder="1" applyAlignment="1">
      <alignment horizontal="center" vertical="center"/>
    </xf>
    <xf numFmtId="38" fontId="11" fillId="0" borderId="26" xfId="1" applyFont="1" applyBorder="1" applyAlignment="1">
      <alignment horizontal="center" vertical="center"/>
    </xf>
    <xf numFmtId="38" fontId="11" fillId="0" borderId="27" xfId="1" applyFont="1" applyBorder="1" applyAlignment="1">
      <alignment horizontal="center" vertical="center"/>
    </xf>
    <xf numFmtId="38" fontId="11" fillId="0" borderId="29" xfId="1" applyFont="1" applyBorder="1" applyAlignment="1">
      <alignment horizontal="center" vertical="center"/>
    </xf>
    <xf numFmtId="38" fontId="11" fillId="0" borderId="30" xfId="1" applyFont="1" applyBorder="1" applyAlignment="1">
      <alignment horizontal="center" vertical="center"/>
    </xf>
    <xf numFmtId="38" fontId="11" fillId="0" borderId="31" xfId="1" applyFont="1" applyBorder="1" applyAlignment="1">
      <alignment horizontal="center" vertical="center"/>
    </xf>
    <xf numFmtId="38" fontId="11" fillId="5" borderId="32" xfId="1" applyFont="1" applyFill="1" applyBorder="1" applyAlignment="1">
      <alignment horizontal="center" vertical="center"/>
    </xf>
    <xf numFmtId="38" fontId="11" fillId="5" borderId="33" xfId="1" applyFont="1" applyFill="1" applyBorder="1" applyAlignment="1">
      <alignment horizontal="center" vertical="center"/>
    </xf>
    <xf numFmtId="0" fontId="11" fillId="5" borderId="34" xfId="0" applyFont="1" applyFill="1" applyBorder="1" applyAlignment="1">
      <alignment horizontal="left" vertical="center"/>
    </xf>
    <xf numFmtId="38" fontId="11" fillId="0" borderId="24" xfId="1" applyFont="1" applyBorder="1" applyAlignment="1" applyProtection="1">
      <protection locked="0"/>
    </xf>
    <xf numFmtId="38" fontId="11" fillId="5" borderId="24" xfId="1" applyFont="1" applyFill="1" applyBorder="1" applyAlignment="1" applyProtection="1">
      <alignment horizontal="right" vertical="center"/>
      <protection locked="0"/>
    </xf>
    <xf numFmtId="38" fontId="11" fillId="7" borderId="35" xfId="1" applyFont="1" applyFill="1" applyBorder="1" applyAlignment="1" applyProtection="1">
      <alignment vertical="center"/>
    </xf>
    <xf numFmtId="38" fontId="11" fillId="5" borderId="37" xfId="1" applyFont="1" applyFill="1" applyBorder="1" applyAlignment="1" applyProtection="1">
      <alignment vertical="center"/>
      <protection locked="0"/>
    </xf>
    <xf numFmtId="38" fontId="11" fillId="5" borderId="15" xfId="1" applyFont="1" applyFill="1" applyBorder="1" applyAlignment="1" applyProtection="1">
      <alignment horizontal="right" vertical="center"/>
      <protection locked="0"/>
    </xf>
    <xf numFmtId="38" fontId="14" fillId="8" borderId="38" xfId="1" applyFont="1" applyFill="1" applyBorder="1" applyAlignment="1">
      <alignment vertical="center"/>
    </xf>
    <xf numFmtId="38" fontId="11" fillId="8" borderId="39" xfId="1" applyFont="1" applyFill="1" applyBorder="1" applyAlignment="1">
      <alignment vertical="center"/>
    </xf>
    <xf numFmtId="0" fontId="16" fillId="5" borderId="0" xfId="0" applyFont="1" applyFill="1" applyAlignment="1">
      <alignment vertical="center"/>
    </xf>
    <xf numFmtId="0" fontId="11" fillId="5" borderId="40" xfId="0" applyFont="1" applyFill="1" applyBorder="1" applyAlignment="1">
      <alignment horizontal="left" vertical="center"/>
    </xf>
    <xf numFmtId="38" fontId="11" fillId="0" borderId="41" xfId="1" applyFont="1" applyBorder="1" applyAlignment="1" applyProtection="1">
      <protection locked="0"/>
    </xf>
    <xf numFmtId="38" fontId="11" fillId="5" borderId="41" xfId="1" applyFont="1" applyFill="1" applyBorder="1" applyAlignment="1" applyProtection="1">
      <alignment horizontal="right" vertical="center"/>
      <protection locked="0"/>
    </xf>
    <xf numFmtId="38" fontId="11" fillId="7" borderId="42" xfId="1" applyFont="1" applyFill="1" applyBorder="1" applyAlignment="1" applyProtection="1">
      <alignment vertical="center"/>
    </xf>
    <xf numFmtId="38" fontId="11" fillId="5" borderId="44" xfId="1" applyFont="1" applyFill="1" applyBorder="1" applyAlignment="1" applyProtection="1">
      <alignment vertical="center"/>
      <protection locked="0"/>
    </xf>
    <xf numFmtId="38" fontId="11" fillId="5" borderId="21" xfId="1" applyFont="1" applyFill="1" applyBorder="1" applyAlignment="1" applyProtection="1">
      <alignment vertical="center"/>
      <protection locked="0"/>
    </xf>
    <xf numFmtId="38" fontId="11" fillId="7" borderId="42" xfId="1" applyFont="1" applyFill="1" applyBorder="1" applyAlignment="1"/>
    <xf numFmtId="38" fontId="11" fillId="5" borderId="40" xfId="1" applyFont="1" applyFill="1" applyBorder="1" applyAlignment="1">
      <alignment vertical="center"/>
    </xf>
    <xf numFmtId="38" fontId="11" fillId="7" borderId="45" xfId="1" applyFont="1" applyFill="1" applyBorder="1" applyAlignment="1">
      <alignment vertical="center"/>
    </xf>
    <xf numFmtId="40" fontId="16" fillId="5" borderId="0" xfId="1" applyNumberFormat="1" applyFont="1" applyFill="1" applyAlignment="1">
      <alignment vertical="center"/>
    </xf>
    <xf numFmtId="38" fontId="11" fillId="5" borderId="21" xfId="1" applyFont="1" applyFill="1" applyBorder="1" applyAlignment="1" applyProtection="1">
      <alignment horizontal="right" vertical="center"/>
      <protection locked="0"/>
    </xf>
    <xf numFmtId="38" fontId="11" fillId="5" borderId="46" xfId="1" applyFont="1" applyFill="1" applyBorder="1" applyAlignment="1">
      <alignment vertical="center"/>
    </xf>
    <xf numFmtId="38" fontId="11" fillId="7" borderId="47" xfId="1" applyFont="1" applyFill="1" applyBorder="1" applyAlignment="1">
      <alignment vertical="center"/>
    </xf>
    <xf numFmtId="0" fontId="17" fillId="9" borderId="0" xfId="0" applyFont="1" applyFill="1" applyAlignment="1">
      <alignment vertical="center"/>
    </xf>
    <xf numFmtId="0" fontId="18" fillId="9" borderId="0" xfId="0" applyFont="1" applyFill="1" applyAlignment="1">
      <alignment vertical="center"/>
    </xf>
    <xf numFmtId="40" fontId="17" fillId="9" borderId="0" xfId="1" applyNumberFormat="1" applyFont="1" applyFill="1" applyAlignment="1">
      <alignment vertical="center"/>
    </xf>
    <xf numFmtId="40" fontId="17" fillId="3" borderId="0" xfId="1" applyNumberFormat="1" applyFont="1" applyFill="1" applyAlignment="1">
      <alignment vertical="center"/>
    </xf>
    <xf numFmtId="38" fontId="11" fillId="5" borderId="48" xfId="1" applyFont="1" applyFill="1" applyBorder="1" applyAlignment="1">
      <alignment vertical="center"/>
    </xf>
    <xf numFmtId="38" fontId="11" fillId="7" borderId="49" xfId="1" applyFont="1" applyFill="1" applyBorder="1" applyAlignment="1">
      <alignment vertical="center"/>
    </xf>
    <xf numFmtId="38" fontId="11" fillId="5" borderId="52" xfId="1" applyFont="1" applyFill="1" applyBorder="1" applyAlignment="1" applyProtection="1">
      <alignment vertical="center"/>
      <protection locked="0"/>
    </xf>
    <xf numFmtId="38" fontId="11" fillId="5" borderId="13" xfId="1" applyFont="1" applyFill="1" applyBorder="1" applyAlignment="1" applyProtection="1">
      <alignment horizontal="right" vertical="center"/>
      <protection locked="0"/>
    </xf>
    <xf numFmtId="38" fontId="11" fillId="7" borderId="51" xfId="1" applyFont="1" applyFill="1" applyBorder="1" applyAlignment="1"/>
    <xf numFmtId="0" fontId="11" fillId="5" borderId="0" xfId="0" applyFont="1" applyFill="1" applyAlignment="1">
      <alignment horizontal="right" vertical="center"/>
    </xf>
    <xf numFmtId="38" fontId="11" fillId="7" borderId="29" xfId="1" applyFont="1" applyFill="1" applyBorder="1" applyAlignment="1" applyProtection="1">
      <alignment horizontal="right" vertical="center"/>
    </xf>
    <xf numFmtId="38" fontId="11" fillId="7" borderId="30" xfId="1" applyFont="1" applyFill="1" applyBorder="1" applyAlignment="1" applyProtection="1">
      <alignment horizontal="right" vertical="center"/>
    </xf>
    <xf numFmtId="38" fontId="11" fillId="7" borderId="28" xfId="1" applyFont="1" applyFill="1" applyBorder="1" applyAlignment="1"/>
    <xf numFmtId="0" fontId="19" fillId="5" borderId="0" xfId="0" applyFont="1" applyFill="1" applyAlignment="1">
      <alignment horizontal="right" vertical="center"/>
    </xf>
    <xf numFmtId="0" fontId="19" fillId="5" borderId="0" xfId="0" applyFont="1" applyFill="1" applyAlignment="1">
      <alignment vertical="center"/>
    </xf>
    <xf numFmtId="0" fontId="11" fillId="5" borderId="46" xfId="0" applyFont="1" applyFill="1" applyBorder="1" applyAlignment="1">
      <alignment horizontal="left" vertical="center"/>
    </xf>
    <xf numFmtId="38" fontId="11" fillId="0" borderId="22" xfId="1" applyFont="1" applyBorder="1" applyAlignment="1" applyProtection="1">
      <protection locked="0"/>
    </xf>
    <xf numFmtId="38" fontId="11" fillId="5" borderId="22" xfId="1" applyFont="1" applyFill="1" applyBorder="1" applyAlignment="1" applyProtection="1">
      <alignment horizontal="right" vertical="center"/>
      <protection locked="0"/>
    </xf>
    <xf numFmtId="38" fontId="11" fillId="7" borderId="51" xfId="1" applyFont="1" applyFill="1" applyBorder="1" applyAlignment="1" applyProtection="1">
      <alignment vertical="center"/>
    </xf>
    <xf numFmtId="38" fontId="11" fillId="7" borderId="35" xfId="1" applyFont="1" applyFill="1" applyBorder="1" applyAlignment="1"/>
    <xf numFmtId="38" fontId="11" fillId="5" borderId="53" xfId="1" applyFont="1" applyFill="1" applyBorder="1" applyAlignment="1">
      <alignment vertical="center"/>
    </xf>
    <xf numFmtId="38" fontId="11" fillId="7" borderId="54" xfId="1" applyFont="1" applyFill="1" applyBorder="1" applyAlignment="1">
      <alignment vertical="center"/>
    </xf>
    <xf numFmtId="10" fontId="19" fillId="5" borderId="0" xfId="2" applyNumberFormat="1" applyFont="1" applyFill="1" applyAlignment="1">
      <alignment vertical="center"/>
    </xf>
    <xf numFmtId="38" fontId="11" fillId="7" borderId="55" xfId="1" applyFont="1" applyFill="1" applyBorder="1" applyAlignment="1" applyProtection="1">
      <alignment vertical="center"/>
    </xf>
    <xf numFmtId="38" fontId="11" fillId="7" borderId="28" xfId="1" applyFont="1" applyFill="1" applyBorder="1" applyAlignment="1" applyProtection="1">
      <alignment vertical="center"/>
    </xf>
    <xf numFmtId="38" fontId="11" fillId="5" borderId="24" xfId="1" applyFont="1" applyFill="1" applyBorder="1" applyAlignment="1" applyProtection="1">
      <alignment vertical="center"/>
      <protection locked="0"/>
    </xf>
    <xf numFmtId="38" fontId="11" fillId="7" borderId="56" xfId="1" applyFont="1" applyFill="1" applyBorder="1" applyAlignment="1">
      <alignment vertical="center"/>
    </xf>
    <xf numFmtId="38" fontId="11" fillId="5" borderId="41" xfId="1" applyFont="1" applyFill="1" applyBorder="1" applyAlignment="1" applyProtection="1">
      <alignment vertical="center"/>
      <protection locked="0"/>
    </xf>
    <xf numFmtId="38" fontId="11" fillId="7" borderId="57" xfId="1" applyFont="1" applyFill="1" applyBorder="1" applyAlignment="1">
      <alignment vertical="center"/>
    </xf>
    <xf numFmtId="38" fontId="11" fillId="5" borderId="22" xfId="1" applyFont="1" applyFill="1" applyBorder="1" applyAlignment="1" applyProtection="1">
      <alignment vertical="center"/>
      <protection locked="0"/>
    </xf>
    <xf numFmtId="38" fontId="11" fillId="7" borderId="55" xfId="1" applyFont="1" applyFill="1" applyBorder="1" applyAlignment="1">
      <alignment vertical="center"/>
    </xf>
    <xf numFmtId="0" fontId="11" fillId="0" borderId="53" xfId="0" applyFont="1" applyBorder="1" applyAlignment="1">
      <alignment horizontal="left" vertical="center"/>
    </xf>
    <xf numFmtId="38" fontId="11" fillId="0" borderId="23" xfId="1" applyFont="1" applyBorder="1" applyAlignment="1" applyProtection="1">
      <alignment vertical="center"/>
      <protection locked="0"/>
    </xf>
    <xf numFmtId="38" fontId="11" fillId="5" borderId="23" xfId="1" applyFont="1" applyFill="1" applyBorder="1" applyAlignment="1" applyProtection="1">
      <alignment vertical="center"/>
      <protection locked="0"/>
    </xf>
    <xf numFmtId="38" fontId="11" fillId="7" borderId="58" xfId="1" applyFont="1" applyFill="1" applyBorder="1" applyAlignment="1" applyProtection="1">
      <alignment vertical="center"/>
    </xf>
    <xf numFmtId="38" fontId="11" fillId="5" borderId="34" xfId="1" applyFont="1" applyFill="1" applyBorder="1" applyAlignment="1">
      <alignment vertical="center"/>
    </xf>
    <xf numFmtId="38" fontId="14" fillId="8" borderId="59" xfId="1" applyFont="1" applyFill="1" applyBorder="1" applyAlignment="1">
      <alignment horizontal="right" vertical="center"/>
    </xf>
    <xf numFmtId="38" fontId="14" fillId="8" borderId="60" xfId="1" applyFont="1" applyFill="1" applyBorder="1" applyAlignment="1">
      <alignment vertical="center"/>
    </xf>
    <xf numFmtId="0" fontId="11" fillId="0" borderId="0" xfId="0" applyFont="1" applyAlignment="1">
      <alignment horizontal="left" vertical="center"/>
    </xf>
    <xf numFmtId="38" fontId="11" fillId="0" borderId="0" xfId="1" applyFont="1" applyFill="1" applyBorder="1" applyAlignment="1" applyProtection="1">
      <alignment vertical="center"/>
    </xf>
    <xf numFmtId="38" fontId="20" fillId="5" borderId="0" xfId="1" applyFont="1" applyFill="1" applyAlignment="1" applyProtection="1">
      <protection hidden="1"/>
    </xf>
    <xf numFmtId="178" fontId="11" fillId="5" borderId="0" xfId="2" applyNumberFormat="1" applyFont="1" applyFill="1" applyAlignment="1">
      <alignment vertical="center"/>
    </xf>
    <xf numFmtId="38" fontId="11" fillId="0" borderId="53" xfId="1" applyFont="1" applyFill="1" applyBorder="1" applyAlignment="1">
      <alignment horizontal="left" vertical="center"/>
    </xf>
    <xf numFmtId="38" fontId="14" fillId="0" borderId="57" xfId="1" applyFont="1" applyFill="1" applyBorder="1" applyAlignment="1">
      <alignment vertical="center"/>
    </xf>
    <xf numFmtId="0" fontId="11" fillId="5" borderId="0" xfId="1" applyNumberFormat="1" applyFont="1" applyFill="1" applyAlignment="1" applyProtection="1"/>
    <xf numFmtId="38" fontId="11" fillId="5" borderId="0" xfId="1" applyFont="1" applyFill="1" applyAlignment="1"/>
    <xf numFmtId="38" fontId="20" fillId="5" borderId="0" xfId="1" applyFont="1" applyFill="1" applyAlignment="1" applyProtection="1">
      <alignment vertical="center"/>
      <protection hidden="1"/>
    </xf>
    <xf numFmtId="38" fontId="14" fillId="8" borderId="53" xfId="1" applyFont="1" applyFill="1" applyBorder="1" applyAlignment="1">
      <alignment horizontal="right" vertical="center"/>
    </xf>
    <xf numFmtId="38" fontId="14" fillId="8" borderId="57" xfId="1" applyFont="1" applyFill="1" applyBorder="1" applyAlignment="1">
      <alignment vertical="center"/>
    </xf>
    <xf numFmtId="0" fontId="11" fillId="5" borderId="34" xfId="0" applyFont="1" applyFill="1" applyBorder="1" applyAlignment="1">
      <alignment vertical="center"/>
    </xf>
    <xf numFmtId="38" fontId="11" fillId="0" borderId="1" xfId="1" applyFont="1" applyBorder="1" applyAlignment="1" applyProtection="1">
      <alignment vertical="center"/>
      <protection locked="0"/>
    </xf>
    <xf numFmtId="38" fontId="11" fillId="7" borderId="54" xfId="1" applyFont="1" applyFill="1" applyBorder="1" applyAlignment="1" applyProtection="1">
      <alignment vertical="center"/>
    </xf>
    <xf numFmtId="40" fontId="17" fillId="10" borderId="0" xfId="1" applyNumberFormat="1" applyFont="1" applyFill="1" applyAlignment="1">
      <alignment vertical="center"/>
    </xf>
    <xf numFmtId="38" fontId="14" fillId="11" borderId="38" xfId="1" applyFont="1" applyFill="1" applyBorder="1" applyAlignment="1">
      <alignment vertical="center"/>
    </xf>
    <xf numFmtId="38" fontId="11" fillId="11" borderId="39" xfId="1" applyFont="1" applyFill="1" applyBorder="1" applyAlignment="1">
      <alignment vertical="center"/>
    </xf>
    <xf numFmtId="0" fontId="11" fillId="5" borderId="46" xfId="0" applyFont="1" applyFill="1" applyBorder="1" applyAlignment="1">
      <alignment vertical="center"/>
    </xf>
    <xf numFmtId="38" fontId="11" fillId="5" borderId="61" xfId="1" applyFont="1" applyFill="1" applyBorder="1" applyAlignment="1" applyProtection="1">
      <alignment horizontal="right" vertical="center"/>
      <protection locked="0"/>
    </xf>
    <xf numFmtId="38" fontId="11" fillId="7" borderId="47" xfId="1" applyFont="1" applyFill="1" applyBorder="1" applyAlignment="1" applyProtection="1">
      <alignment vertical="center"/>
    </xf>
    <xf numFmtId="40" fontId="17" fillId="5" borderId="0" xfId="1" applyNumberFormat="1" applyFont="1" applyFill="1" applyAlignment="1">
      <alignment vertical="center"/>
    </xf>
    <xf numFmtId="38" fontId="11" fillId="7" borderId="62" xfId="1" applyFont="1" applyFill="1" applyBorder="1" applyAlignment="1" applyProtection="1">
      <alignment vertical="center"/>
    </xf>
    <xf numFmtId="38" fontId="11" fillId="7" borderId="31" xfId="1" applyFont="1" applyFill="1" applyBorder="1" applyAlignment="1" applyProtection="1">
      <alignment vertical="center"/>
    </xf>
    <xf numFmtId="40" fontId="17" fillId="12" borderId="0" xfId="1" applyNumberFormat="1" applyFont="1" applyFill="1" applyAlignment="1">
      <alignment vertical="center"/>
    </xf>
    <xf numFmtId="0" fontId="11" fillId="0" borderId="53" xfId="0" applyFont="1" applyBorder="1" applyAlignment="1">
      <alignment vertical="center"/>
    </xf>
    <xf numFmtId="38" fontId="11" fillId="5" borderId="0" xfId="1" applyFont="1" applyFill="1" applyBorder="1" applyAlignment="1" applyProtection="1">
      <alignment horizontal="right" vertical="center"/>
      <protection locked="0"/>
    </xf>
    <xf numFmtId="38" fontId="11" fillId="7" borderId="57" xfId="1" applyFont="1" applyFill="1" applyBorder="1" applyAlignment="1" applyProtection="1">
      <alignment vertical="center"/>
    </xf>
    <xf numFmtId="10" fontId="11" fillId="5" borderId="0" xfId="2" applyNumberFormat="1" applyFont="1" applyFill="1" applyAlignment="1">
      <alignment vertical="center"/>
    </xf>
    <xf numFmtId="0" fontId="11" fillId="0" borderId="34" xfId="0" applyFont="1" applyBorder="1" applyAlignment="1">
      <alignment vertical="center"/>
    </xf>
    <xf numFmtId="38" fontId="11" fillId="5" borderId="1" xfId="1" applyFont="1" applyFill="1" applyBorder="1" applyAlignment="1" applyProtection="1">
      <alignment horizontal="right" vertical="center"/>
      <protection locked="0"/>
    </xf>
    <xf numFmtId="0" fontId="11" fillId="0" borderId="46" xfId="0" applyFont="1" applyBorder="1" applyAlignment="1">
      <alignment vertical="center"/>
    </xf>
    <xf numFmtId="40" fontId="18" fillId="5" borderId="0" xfId="1" applyNumberFormat="1" applyFont="1" applyFill="1" applyAlignment="1">
      <alignment vertical="center"/>
    </xf>
    <xf numFmtId="0" fontId="11" fillId="0" borderId="34" xfId="1" applyNumberFormat="1" applyFont="1" applyFill="1" applyBorder="1" applyAlignment="1">
      <alignment vertical="center"/>
    </xf>
    <xf numFmtId="38" fontId="11" fillId="5" borderId="0" xfId="1" applyFont="1" applyFill="1" applyBorder="1" applyAlignment="1" applyProtection="1">
      <alignment vertical="center"/>
    </xf>
    <xf numFmtId="0" fontId="11" fillId="0" borderId="46" xfId="1" applyNumberFormat="1" applyFont="1" applyFill="1" applyBorder="1" applyAlignment="1">
      <alignment vertical="center"/>
    </xf>
    <xf numFmtId="38" fontId="11" fillId="7" borderId="63" xfId="1" applyFont="1" applyFill="1" applyBorder="1" applyAlignment="1">
      <alignment vertical="center"/>
    </xf>
    <xf numFmtId="0" fontId="11" fillId="0" borderId="53" xfId="1" applyNumberFormat="1" applyFont="1" applyFill="1" applyBorder="1" applyAlignment="1">
      <alignment vertical="center" shrinkToFit="1"/>
    </xf>
    <xf numFmtId="38" fontId="14" fillId="11" borderId="59" xfId="1" applyFont="1" applyFill="1" applyBorder="1" applyAlignment="1">
      <alignment horizontal="right" vertical="center"/>
    </xf>
    <xf numFmtId="38" fontId="14" fillId="11" borderId="60" xfId="1" applyFont="1" applyFill="1" applyBorder="1" applyAlignment="1">
      <alignment vertical="center"/>
    </xf>
    <xf numFmtId="38" fontId="11" fillId="7" borderId="62" xfId="1" applyFont="1" applyFill="1" applyBorder="1" applyAlignment="1" applyProtection="1">
      <alignment horizontal="right" vertical="center"/>
    </xf>
    <xf numFmtId="38" fontId="14" fillId="13" borderId="38" xfId="1" applyFont="1" applyFill="1" applyBorder="1" applyAlignment="1">
      <alignment vertical="center"/>
    </xf>
    <xf numFmtId="38" fontId="15" fillId="13" borderId="39" xfId="1" applyFont="1" applyFill="1" applyBorder="1" applyAlignment="1">
      <alignment vertical="center"/>
    </xf>
    <xf numFmtId="0" fontId="11" fillId="0" borderId="0" xfId="0" applyFont="1" applyAlignment="1">
      <alignment vertical="center"/>
    </xf>
    <xf numFmtId="38" fontId="11" fillId="0" borderId="0" xfId="1" applyFont="1" applyFill="1" applyBorder="1" applyAlignment="1" applyProtection="1">
      <alignment horizontal="right" vertical="center"/>
    </xf>
    <xf numFmtId="38" fontId="11" fillId="0" borderId="0" xfId="1" applyFont="1" applyFill="1" applyBorder="1" applyAlignment="1" applyProtection="1">
      <alignment vertical="center"/>
      <protection locked="0"/>
    </xf>
    <xf numFmtId="0" fontId="11" fillId="5" borderId="0" xfId="1" applyNumberFormat="1" applyFont="1" applyFill="1" applyBorder="1" applyAlignment="1">
      <alignment vertical="center"/>
    </xf>
    <xf numFmtId="38" fontId="11" fillId="5" borderId="0" xfId="1" applyFont="1" applyFill="1" applyAlignment="1" applyProtection="1">
      <alignment vertical="center"/>
      <protection locked="0"/>
    </xf>
    <xf numFmtId="0" fontId="11" fillId="0" borderId="38" xfId="1" applyNumberFormat="1" applyFont="1" applyFill="1" applyBorder="1" applyAlignment="1">
      <alignment vertical="center"/>
    </xf>
    <xf numFmtId="38" fontId="11" fillId="0" borderId="64" xfId="1" applyFont="1" applyBorder="1" applyAlignment="1" applyProtection="1">
      <alignment vertical="center"/>
      <protection locked="0"/>
    </xf>
    <xf numFmtId="38" fontId="11" fillId="0" borderId="65" xfId="1" applyFont="1" applyBorder="1" applyAlignment="1" applyProtection="1">
      <alignment vertical="center"/>
      <protection locked="0"/>
    </xf>
    <xf numFmtId="38" fontId="11" fillId="7" borderId="66" xfId="1" applyFont="1" applyFill="1" applyBorder="1" applyAlignment="1">
      <alignment vertical="center"/>
    </xf>
    <xf numFmtId="38" fontId="11" fillId="0" borderId="0" xfId="1" applyFont="1" applyAlignment="1" applyProtection="1">
      <alignment vertical="center"/>
      <protection locked="0"/>
    </xf>
    <xf numFmtId="0" fontId="11" fillId="0" borderId="67" xfId="1" applyNumberFormat="1" applyFont="1" applyFill="1" applyBorder="1" applyAlignment="1">
      <alignment vertical="center"/>
    </xf>
    <xf numFmtId="38" fontId="11" fillId="0" borderId="68" xfId="1" applyFont="1" applyBorder="1" applyAlignment="1" applyProtection="1">
      <alignment vertical="center"/>
      <protection locked="0"/>
    </xf>
    <xf numFmtId="38" fontId="11" fillId="0" borderId="69" xfId="1" applyFont="1" applyBorder="1" applyAlignment="1" applyProtection="1">
      <alignment vertical="center"/>
      <protection locked="0"/>
    </xf>
    <xf numFmtId="38" fontId="11" fillId="7" borderId="70" xfId="1" applyFont="1" applyFill="1" applyBorder="1" applyAlignment="1">
      <alignment vertical="center"/>
    </xf>
    <xf numFmtId="38" fontId="14" fillId="13" borderId="59" xfId="1" applyFont="1" applyFill="1" applyBorder="1" applyAlignment="1">
      <alignment horizontal="right" vertical="center"/>
    </xf>
    <xf numFmtId="38" fontId="14" fillId="13" borderId="60" xfId="1" applyFont="1" applyFill="1" applyBorder="1" applyAlignment="1">
      <alignment vertical="center"/>
    </xf>
    <xf numFmtId="38" fontId="14" fillId="5" borderId="32" xfId="1" applyFont="1" applyFill="1" applyBorder="1" applyAlignment="1">
      <alignment horizontal="left" vertical="center"/>
    </xf>
    <xf numFmtId="38" fontId="11" fillId="7" borderId="33" xfId="1" applyFont="1" applyFill="1" applyBorder="1" applyAlignment="1">
      <alignment vertical="center"/>
    </xf>
    <xf numFmtId="38" fontId="14" fillId="5" borderId="74" xfId="1" applyFont="1" applyFill="1" applyBorder="1" applyAlignment="1">
      <alignment horizontal="left" vertical="center"/>
    </xf>
    <xf numFmtId="38" fontId="11" fillId="7" borderId="75" xfId="1" applyFont="1" applyFill="1" applyBorder="1" applyAlignment="1">
      <alignment vertical="center"/>
    </xf>
    <xf numFmtId="38" fontId="11" fillId="0" borderId="77" xfId="1" applyFont="1" applyBorder="1" applyAlignment="1">
      <alignment horizontal="center" vertical="center"/>
    </xf>
    <xf numFmtId="38" fontId="14" fillId="5" borderId="59" xfId="1" applyFont="1" applyFill="1" applyBorder="1" applyAlignment="1">
      <alignment horizontal="left" vertical="center"/>
    </xf>
    <xf numFmtId="38" fontId="11" fillId="7" borderId="60" xfId="1" applyFont="1" applyFill="1" applyBorder="1" applyAlignment="1">
      <alignment vertical="center"/>
    </xf>
    <xf numFmtId="0" fontId="11" fillId="0" borderId="38" xfId="0" applyFont="1" applyBorder="1" applyAlignment="1">
      <alignment vertical="center"/>
    </xf>
    <xf numFmtId="38" fontId="11" fillId="7" borderId="64" xfId="1" applyFont="1" applyFill="1" applyBorder="1" applyAlignment="1">
      <alignment vertical="center"/>
    </xf>
    <xf numFmtId="38" fontId="11" fillId="7" borderId="65" xfId="1" applyFont="1" applyFill="1" applyBorder="1" applyAlignment="1">
      <alignment vertical="center"/>
    </xf>
    <xf numFmtId="38" fontId="11" fillId="5" borderId="64" xfId="1" applyFont="1" applyFill="1" applyBorder="1" applyAlignment="1" applyProtection="1">
      <alignment vertical="center"/>
      <protection locked="0"/>
    </xf>
    <xf numFmtId="38" fontId="11" fillId="5" borderId="65" xfId="1" applyFont="1" applyFill="1" applyBorder="1" applyAlignment="1" applyProtection="1">
      <alignment vertical="center"/>
      <protection locked="0"/>
    </xf>
    <xf numFmtId="38" fontId="21" fillId="7" borderId="65" xfId="1" applyFont="1" applyFill="1" applyBorder="1" applyAlignment="1">
      <alignment vertical="center"/>
    </xf>
    <xf numFmtId="38" fontId="11" fillId="7" borderId="80" xfId="1" applyFont="1" applyFill="1" applyBorder="1" applyAlignment="1" applyProtection="1">
      <alignment vertical="center"/>
    </xf>
    <xf numFmtId="38" fontId="14" fillId="5" borderId="67" xfId="1" applyFont="1" applyFill="1" applyBorder="1" applyAlignment="1">
      <alignment horizontal="left" vertical="center"/>
    </xf>
    <xf numFmtId="38" fontId="11" fillId="7" borderId="79" xfId="1" applyFont="1" applyFill="1" applyBorder="1" applyAlignment="1">
      <alignment vertical="center"/>
    </xf>
    <xf numFmtId="0" fontId="11" fillId="0" borderId="40" xfId="0" applyFont="1" applyBorder="1" applyAlignment="1">
      <alignment vertical="center"/>
    </xf>
    <xf numFmtId="38" fontId="11" fillId="7" borderId="81" xfId="1" applyFont="1" applyFill="1" applyBorder="1" applyAlignment="1">
      <alignment vertical="center"/>
    </xf>
    <xf numFmtId="38" fontId="11" fillId="7" borderId="21" xfId="1" applyFont="1" applyFill="1" applyBorder="1" applyAlignment="1">
      <alignment vertical="center"/>
    </xf>
    <xf numFmtId="38" fontId="11" fillId="7" borderId="11" xfId="1" applyFont="1" applyFill="1" applyBorder="1" applyAlignment="1" applyProtection="1">
      <alignment vertical="center"/>
    </xf>
    <xf numFmtId="38" fontId="11" fillId="7" borderId="42" xfId="1" applyFont="1" applyFill="1" applyBorder="1" applyAlignment="1">
      <alignment vertical="center"/>
    </xf>
    <xf numFmtId="38" fontId="14" fillId="7" borderId="82" xfId="1" applyFont="1" applyFill="1" applyBorder="1" applyAlignment="1">
      <alignment vertical="center"/>
    </xf>
    <xf numFmtId="0" fontId="11" fillId="0" borderId="40" xfId="0" applyFont="1" applyBorder="1" applyAlignment="1">
      <alignment vertical="center" shrinkToFit="1"/>
    </xf>
    <xf numFmtId="38" fontId="11" fillId="5" borderId="81" xfId="1" applyFont="1" applyFill="1" applyBorder="1" applyAlignment="1" applyProtection="1">
      <alignment vertical="center"/>
      <protection locked="0"/>
    </xf>
    <xf numFmtId="38" fontId="11" fillId="7" borderId="13" xfId="1" applyFont="1" applyFill="1" applyBorder="1" applyAlignment="1" applyProtection="1">
      <alignment vertical="center"/>
    </xf>
    <xf numFmtId="38" fontId="14" fillId="0" borderId="0" xfId="1" applyFont="1" applyAlignment="1">
      <alignment vertical="center"/>
    </xf>
    <xf numFmtId="38" fontId="11" fillId="7" borderId="21" xfId="1" applyFont="1" applyFill="1" applyBorder="1" applyAlignment="1" applyProtection="1">
      <alignment vertical="center"/>
    </xf>
    <xf numFmtId="38" fontId="22" fillId="5" borderId="0" xfId="1" applyFont="1" applyFill="1" applyAlignment="1">
      <alignment horizontal="left" vertical="center"/>
    </xf>
    <xf numFmtId="38" fontId="11" fillId="7" borderId="15" xfId="1" applyFont="1" applyFill="1" applyBorder="1" applyAlignment="1" applyProtection="1">
      <alignment vertical="center"/>
    </xf>
    <xf numFmtId="38" fontId="11" fillId="7" borderId="12" xfId="1" applyFont="1" applyFill="1" applyBorder="1" applyAlignment="1" applyProtection="1">
      <alignment vertical="center"/>
    </xf>
    <xf numFmtId="0" fontId="11" fillId="0" borderId="59" xfId="0" applyFont="1" applyBorder="1" applyAlignment="1">
      <alignment vertical="center"/>
    </xf>
    <xf numFmtId="38" fontId="11" fillId="7" borderId="83" xfId="1" applyFont="1" applyFill="1" applyBorder="1" applyAlignment="1" applyProtection="1">
      <alignment vertical="center"/>
    </xf>
    <xf numFmtId="38" fontId="11" fillId="7" borderId="78" xfId="1" applyFont="1" applyFill="1" applyBorder="1" applyAlignment="1" applyProtection="1">
      <alignment vertical="center"/>
    </xf>
    <xf numFmtId="38" fontId="11" fillId="7" borderId="84" xfId="1" applyFont="1" applyFill="1" applyBorder="1" applyAlignment="1" applyProtection="1">
      <alignment vertical="center"/>
    </xf>
    <xf numFmtId="38" fontId="11" fillId="5" borderId="85" xfId="1" applyFont="1" applyFill="1" applyBorder="1" applyAlignment="1">
      <alignment horizontal="center" vertical="center"/>
    </xf>
    <xf numFmtId="38" fontId="14" fillId="8" borderId="66" xfId="1" applyFont="1" applyFill="1" applyBorder="1" applyAlignment="1">
      <alignment vertical="center"/>
    </xf>
    <xf numFmtId="38" fontId="11" fillId="5" borderId="42" xfId="1" applyFont="1" applyFill="1" applyBorder="1" applyAlignment="1">
      <alignment vertical="center"/>
    </xf>
    <xf numFmtId="38" fontId="11" fillId="5" borderId="51" xfId="1" applyFont="1" applyFill="1" applyBorder="1" applyAlignment="1">
      <alignment vertical="center"/>
    </xf>
    <xf numFmtId="38" fontId="11" fillId="5" borderId="63" xfId="1" applyFont="1" applyFill="1" applyBorder="1" applyAlignment="1">
      <alignment vertical="center"/>
    </xf>
    <xf numFmtId="38" fontId="11" fillId="5" borderId="58" xfId="1" applyFont="1" applyFill="1" applyBorder="1" applyAlignment="1">
      <alignment vertical="center"/>
    </xf>
    <xf numFmtId="38" fontId="11" fillId="5" borderId="35" xfId="1" applyFont="1" applyFill="1" applyBorder="1" applyAlignment="1">
      <alignment vertical="center"/>
    </xf>
    <xf numFmtId="38" fontId="14" fillId="8" borderId="84" xfId="1" applyFont="1" applyFill="1" applyBorder="1" applyAlignment="1">
      <alignment horizontal="right" vertical="center"/>
    </xf>
    <xf numFmtId="38" fontId="11" fillId="0" borderId="58" xfId="1" applyFont="1" applyFill="1" applyBorder="1" applyAlignment="1">
      <alignment horizontal="left" vertical="center"/>
    </xf>
    <xf numFmtId="38" fontId="14" fillId="8" borderId="58" xfId="1" applyFont="1" applyFill="1" applyBorder="1" applyAlignment="1">
      <alignment horizontal="right" vertical="center"/>
    </xf>
    <xf numFmtId="38" fontId="14" fillId="11" borderId="66" xfId="1" applyFont="1" applyFill="1" applyBorder="1" applyAlignment="1">
      <alignment vertical="center"/>
    </xf>
    <xf numFmtId="38" fontId="14" fillId="11" borderId="84" xfId="1" applyFont="1" applyFill="1" applyBorder="1" applyAlignment="1">
      <alignment horizontal="right" vertical="center"/>
    </xf>
    <xf numFmtId="38" fontId="14" fillId="13" borderId="66" xfId="1" applyFont="1" applyFill="1" applyBorder="1" applyAlignment="1">
      <alignment vertical="center"/>
    </xf>
    <xf numFmtId="38" fontId="14" fillId="13" borderId="84" xfId="1" applyFont="1" applyFill="1" applyBorder="1" applyAlignment="1">
      <alignment horizontal="right" vertical="center"/>
    </xf>
    <xf numFmtId="38" fontId="14" fillId="5" borderId="85" xfId="1" applyFont="1" applyFill="1" applyBorder="1" applyAlignment="1">
      <alignment horizontal="left" vertical="center"/>
    </xf>
    <xf numFmtId="38" fontId="14" fillId="5" borderId="86" xfId="1" applyFont="1" applyFill="1" applyBorder="1" applyAlignment="1">
      <alignment horizontal="left" vertical="center"/>
    </xf>
    <xf numFmtId="38" fontId="14" fillId="5" borderId="84" xfId="1" applyFont="1" applyFill="1" applyBorder="1" applyAlignment="1">
      <alignment horizontal="left" vertical="center"/>
    </xf>
    <xf numFmtId="38" fontId="14" fillId="5" borderId="70" xfId="1" applyFont="1" applyFill="1" applyBorder="1" applyAlignment="1">
      <alignment horizontal="left" vertical="center"/>
    </xf>
    <xf numFmtId="38" fontId="11" fillId="0" borderId="77" xfId="1" applyFont="1" applyBorder="1" applyAlignment="1">
      <alignment horizontal="center" vertical="center" wrapText="1"/>
    </xf>
    <xf numFmtId="38" fontId="14" fillId="0" borderId="57" xfId="1" applyNumberFormat="1" applyFont="1" applyFill="1" applyBorder="1" applyAlignment="1">
      <alignment vertical="center"/>
    </xf>
    <xf numFmtId="176" fontId="8" fillId="0" borderId="26" xfId="1" applyNumberFormat="1" applyFont="1" applyBorder="1">
      <alignment vertical="center"/>
    </xf>
    <xf numFmtId="176" fontId="8" fillId="0" borderId="62" xfId="1" applyNumberFormat="1" applyFont="1" applyBorder="1">
      <alignment vertical="center"/>
    </xf>
    <xf numFmtId="176" fontId="8" fillId="0" borderId="28" xfId="1" applyNumberFormat="1" applyFont="1" applyBorder="1">
      <alignment vertical="center"/>
    </xf>
    <xf numFmtId="9" fontId="8" fillId="0" borderId="0" xfId="2" applyFont="1">
      <alignment vertical="center"/>
    </xf>
    <xf numFmtId="10" fontId="8" fillId="0" borderId="0" xfId="2" applyNumberFormat="1" applyFont="1">
      <alignment vertical="center"/>
    </xf>
    <xf numFmtId="179" fontId="8" fillId="0" borderId="0" xfId="1" applyNumberFormat="1" applyFont="1">
      <alignment vertical="center"/>
    </xf>
    <xf numFmtId="176" fontId="8" fillId="0" borderId="0" xfId="1" quotePrefix="1" applyNumberFormat="1" applyFont="1">
      <alignment vertical="center"/>
    </xf>
    <xf numFmtId="176" fontId="23" fillId="0" borderId="0" xfId="1" applyNumberFormat="1" applyFont="1">
      <alignment vertical="center"/>
    </xf>
    <xf numFmtId="177" fontId="8" fillId="0" borderId="0" xfId="1" applyNumberFormat="1" applyFont="1">
      <alignment vertical="center"/>
    </xf>
    <xf numFmtId="10" fontId="8" fillId="3" borderId="0" xfId="2" applyNumberFormat="1" applyFont="1" applyFill="1">
      <alignment vertical="center"/>
    </xf>
    <xf numFmtId="179" fontId="8" fillId="0" borderId="0" xfId="3" applyNumberFormat="1" applyFont="1">
      <alignment vertical="center"/>
    </xf>
    <xf numFmtId="38" fontId="8" fillId="14" borderId="10" xfId="3" applyFont="1" applyFill="1" applyBorder="1">
      <alignment vertical="center"/>
    </xf>
    <xf numFmtId="38" fontId="8" fillId="14" borderId="61" xfId="3" applyFont="1" applyFill="1" applyBorder="1">
      <alignment vertical="center"/>
    </xf>
    <xf numFmtId="38" fontId="8" fillId="14" borderId="22" xfId="3" applyFont="1" applyFill="1" applyBorder="1">
      <alignment vertical="center"/>
    </xf>
    <xf numFmtId="38" fontId="8" fillId="14" borderId="11" xfId="3" applyFont="1" applyFill="1" applyBorder="1">
      <alignment vertical="center"/>
    </xf>
    <xf numFmtId="38" fontId="8" fillId="14" borderId="0" xfId="3" applyFont="1" applyFill="1" applyBorder="1">
      <alignment vertical="center"/>
    </xf>
    <xf numFmtId="38" fontId="8" fillId="4" borderId="0" xfId="3" applyFont="1" applyFill="1" applyBorder="1">
      <alignment vertical="center"/>
    </xf>
    <xf numFmtId="38" fontId="8" fillId="14" borderId="23" xfId="3" applyFont="1" applyFill="1" applyBorder="1">
      <alignment vertical="center"/>
    </xf>
    <xf numFmtId="38" fontId="8" fillId="14" borderId="12" xfId="3" applyFont="1" applyFill="1" applyBorder="1">
      <alignment vertical="center"/>
    </xf>
    <xf numFmtId="38" fontId="8" fillId="14" borderId="1" xfId="3" applyFont="1" applyFill="1" applyBorder="1">
      <alignment vertical="center"/>
    </xf>
    <xf numFmtId="38" fontId="8" fillId="14" borderId="24" xfId="3" applyFont="1" applyFill="1" applyBorder="1">
      <alignment vertical="center"/>
    </xf>
    <xf numFmtId="38" fontId="8" fillId="4" borderId="10" xfId="3" applyFont="1" applyFill="1" applyBorder="1">
      <alignment vertical="center"/>
    </xf>
    <xf numFmtId="38" fontId="8" fillId="4" borderId="61" xfId="3" applyFont="1" applyFill="1" applyBorder="1">
      <alignment vertical="center"/>
    </xf>
    <xf numFmtId="38" fontId="8" fillId="4" borderId="22" xfId="3" applyFont="1" applyFill="1" applyBorder="1">
      <alignment vertical="center"/>
    </xf>
    <xf numFmtId="38" fontId="8" fillId="4" borderId="11" xfId="3" applyFont="1" applyFill="1" applyBorder="1">
      <alignment vertical="center"/>
    </xf>
    <xf numFmtId="38" fontId="8" fillId="3" borderId="0" xfId="3" applyFont="1" applyFill="1" applyBorder="1">
      <alignment vertical="center"/>
    </xf>
    <xf numFmtId="38" fontId="8" fillId="4" borderId="23" xfId="3" applyFont="1" applyFill="1" applyBorder="1">
      <alignment vertical="center"/>
    </xf>
    <xf numFmtId="38" fontId="8" fillId="4" borderId="12" xfId="3" applyFont="1" applyFill="1" applyBorder="1">
      <alignment vertical="center"/>
    </xf>
    <xf numFmtId="38" fontId="8" fillId="4" borderId="1" xfId="3" applyFont="1" applyFill="1" applyBorder="1">
      <alignment vertical="center"/>
    </xf>
    <xf numFmtId="38" fontId="8" fillId="4" borderId="24" xfId="3" applyFont="1" applyFill="1" applyBorder="1">
      <alignment vertical="center"/>
    </xf>
    <xf numFmtId="38" fontId="0" fillId="0" borderId="0" xfId="1" applyFont="1" applyFill="1" applyBorder="1">
      <alignment vertical="center"/>
    </xf>
    <xf numFmtId="38" fontId="6" fillId="9" borderId="0" xfId="1" applyFont="1" applyFill="1" applyBorder="1">
      <alignment vertical="center"/>
    </xf>
    <xf numFmtId="176" fontId="5" fillId="0" borderId="1" xfId="1" applyNumberFormat="1" applyFont="1" applyBorder="1">
      <alignment vertical="center"/>
    </xf>
    <xf numFmtId="38" fontId="0" fillId="0" borderId="0" xfId="1" applyFont="1" applyBorder="1">
      <alignment vertical="center"/>
    </xf>
    <xf numFmtId="38" fontId="0" fillId="0" borderId="10" xfId="1" applyFont="1" applyBorder="1">
      <alignment vertical="center"/>
    </xf>
    <xf numFmtId="38" fontId="0" fillId="0" borderId="61" xfId="1" applyFont="1" applyBorder="1">
      <alignment vertical="center"/>
    </xf>
    <xf numFmtId="38" fontId="0" fillId="0" borderId="22" xfId="1" applyFont="1" applyBorder="1">
      <alignment vertical="center"/>
    </xf>
    <xf numFmtId="38" fontId="0" fillId="0" borderId="23" xfId="1" applyFont="1" applyBorder="1">
      <alignment vertical="center"/>
    </xf>
    <xf numFmtId="38" fontId="0" fillId="0" borderId="1" xfId="1" applyFont="1" applyBorder="1">
      <alignment vertical="center"/>
    </xf>
    <xf numFmtId="38" fontId="0" fillId="0" borderId="24" xfId="1" applyFont="1" applyBorder="1">
      <alignment vertical="center"/>
    </xf>
    <xf numFmtId="38" fontId="0" fillId="0" borderId="11" xfId="1" applyFont="1" applyFill="1" applyBorder="1">
      <alignment vertical="center"/>
    </xf>
    <xf numFmtId="38" fontId="0" fillId="0" borderId="12" xfId="1" applyFont="1" applyFill="1" applyBorder="1">
      <alignment vertical="center"/>
    </xf>
    <xf numFmtId="38" fontId="0" fillId="9" borderId="53" xfId="1" applyFont="1" applyFill="1" applyBorder="1">
      <alignment vertical="center"/>
    </xf>
    <xf numFmtId="38" fontId="6" fillId="9" borderId="53" xfId="1" applyFont="1" applyFill="1" applyBorder="1">
      <alignment vertical="center"/>
    </xf>
    <xf numFmtId="38" fontId="6" fillId="9" borderId="67" xfId="1" applyFont="1" applyFill="1" applyBorder="1">
      <alignment vertical="center"/>
    </xf>
    <xf numFmtId="38" fontId="6" fillId="9" borderId="26" xfId="1" applyFont="1" applyFill="1" applyBorder="1">
      <alignment vertical="center"/>
    </xf>
    <xf numFmtId="38" fontId="6" fillId="9" borderId="66" xfId="1" applyFont="1" applyFill="1" applyBorder="1">
      <alignment vertical="center"/>
    </xf>
    <xf numFmtId="176" fontId="8" fillId="0" borderId="24" xfId="1" applyNumberFormat="1" applyFont="1" applyBorder="1">
      <alignment vertical="center"/>
    </xf>
    <xf numFmtId="176" fontId="8" fillId="0" borderId="22" xfId="1" applyNumberFormat="1" applyFont="1" applyBorder="1">
      <alignment vertical="center"/>
    </xf>
    <xf numFmtId="176" fontId="8" fillId="0" borderId="15" xfId="1" applyNumberFormat="1" applyFont="1" applyBorder="1" applyAlignment="1">
      <alignment horizontal="right" vertical="center"/>
    </xf>
    <xf numFmtId="176" fontId="8" fillId="0" borderId="12" xfId="1" applyNumberFormat="1" applyFont="1" applyBorder="1" applyAlignment="1">
      <alignment horizontal="right" vertical="center"/>
    </xf>
    <xf numFmtId="180" fontId="8" fillId="0" borderId="0" xfId="1" applyNumberFormat="1" applyFont="1">
      <alignment vertical="center"/>
    </xf>
    <xf numFmtId="181" fontId="8" fillId="0" borderId="0" xfId="1" applyNumberFormat="1" applyFont="1">
      <alignment vertical="center"/>
    </xf>
    <xf numFmtId="40" fontId="8" fillId="0" borderId="0" xfId="1" applyNumberFormat="1" applyFont="1">
      <alignment vertical="center"/>
    </xf>
    <xf numFmtId="182" fontId="8" fillId="0" borderId="0" xfId="1" applyNumberFormat="1" applyFont="1">
      <alignment vertical="center"/>
    </xf>
    <xf numFmtId="176" fontId="8" fillId="0" borderId="0" xfId="1" applyNumberFormat="1" applyFont="1" applyAlignment="1">
      <alignment horizontal="right" vertical="center"/>
    </xf>
    <xf numFmtId="176" fontId="6" fillId="3" borderId="0" xfId="1" applyNumberFormat="1" applyFont="1" applyFill="1" applyAlignment="1">
      <alignment horizontal="right" vertical="center"/>
    </xf>
    <xf numFmtId="180" fontId="6" fillId="3" borderId="9" xfId="1" applyNumberFormat="1" applyFont="1" applyFill="1" applyBorder="1">
      <alignment vertical="center"/>
    </xf>
    <xf numFmtId="40" fontId="6" fillId="3" borderId="9" xfId="1" applyNumberFormat="1" applyFont="1" applyFill="1" applyBorder="1">
      <alignment vertical="center"/>
    </xf>
    <xf numFmtId="183" fontId="8" fillId="0" borderId="0" xfId="1" applyNumberFormat="1" applyFont="1">
      <alignment vertical="center"/>
    </xf>
    <xf numFmtId="183" fontId="8" fillId="0" borderId="21" xfId="1" applyNumberFormat="1" applyFont="1" applyBorder="1" applyAlignment="1">
      <alignment horizontal="center" vertical="center"/>
    </xf>
    <xf numFmtId="183" fontId="6" fillId="3" borderId="9" xfId="1" applyNumberFormat="1" applyFont="1" applyFill="1" applyBorder="1">
      <alignment vertical="center"/>
    </xf>
    <xf numFmtId="38" fontId="8" fillId="0" borderId="0" xfId="3" applyFont="1" applyAlignment="1">
      <alignment horizontal="right" vertical="center"/>
    </xf>
    <xf numFmtId="179" fontId="8" fillId="0" borderId="9" xfId="3" applyNumberFormat="1" applyFont="1" applyBorder="1">
      <alignment vertical="center"/>
    </xf>
    <xf numFmtId="40" fontId="8" fillId="0" borderId="0" xfId="3" applyNumberFormat="1" applyFont="1">
      <alignment vertical="center"/>
    </xf>
    <xf numFmtId="40" fontId="8" fillId="0" borderId="9" xfId="1" applyNumberFormat="1" applyFont="1" applyBorder="1">
      <alignment vertical="center"/>
    </xf>
    <xf numFmtId="0" fontId="0" fillId="0" borderId="0" xfId="0">
      <alignment vertical="center"/>
    </xf>
    <xf numFmtId="38" fontId="0" fillId="0" borderId="0" xfId="1" applyFont="1">
      <alignment vertical="center"/>
    </xf>
    <xf numFmtId="9" fontId="0" fillId="0" borderId="0" xfId="2" applyFont="1">
      <alignment vertical="center"/>
    </xf>
    <xf numFmtId="38" fontId="0" fillId="3" borderId="0" xfId="1" applyFont="1" applyFill="1">
      <alignment vertical="center"/>
    </xf>
    <xf numFmtId="38" fontId="0" fillId="0" borderId="0" xfId="1" applyFont="1" applyBorder="1">
      <alignment vertical="center"/>
    </xf>
    <xf numFmtId="38" fontId="0" fillId="0" borderId="10" xfId="1" applyFont="1" applyBorder="1">
      <alignment vertical="center"/>
    </xf>
    <xf numFmtId="38" fontId="0" fillId="0" borderId="61" xfId="1" applyFont="1" applyBorder="1">
      <alignment vertical="center"/>
    </xf>
    <xf numFmtId="38" fontId="0" fillId="0" borderId="22" xfId="1" applyFont="1" applyBorder="1">
      <alignment vertical="center"/>
    </xf>
    <xf numFmtId="38" fontId="0" fillId="3" borderId="0" xfId="1" applyFont="1" applyFill="1" applyBorder="1">
      <alignment vertical="center"/>
    </xf>
    <xf numFmtId="38" fontId="0" fillId="0" borderId="1" xfId="1" applyFont="1" applyBorder="1">
      <alignment vertical="center"/>
    </xf>
    <xf numFmtId="38" fontId="0" fillId="2" borderId="0" xfId="1" applyFont="1" applyFill="1">
      <alignment vertical="center"/>
    </xf>
    <xf numFmtId="38" fontId="6" fillId="0" borderId="0" xfId="1" applyFont="1">
      <alignment vertical="center"/>
    </xf>
    <xf numFmtId="38" fontId="6" fillId="3" borderId="0" xfId="1" applyFont="1" applyFill="1">
      <alignment vertical="center"/>
    </xf>
    <xf numFmtId="38" fontId="0" fillId="0" borderId="13" xfId="1" applyFont="1" applyBorder="1">
      <alignment vertical="center"/>
    </xf>
    <xf numFmtId="38" fontId="0" fillId="0" borderId="24" xfId="1" applyFont="1" applyBorder="1" applyAlignment="1">
      <alignment horizontal="right" vertical="center"/>
    </xf>
    <xf numFmtId="38" fontId="0" fillId="0" borderId="15" xfId="1" applyFont="1" applyBorder="1" applyAlignment="1">
      <alignment horizontal="right" vertical="center"/>
    </xf>
    <xf numFmtId="38" fontId="0" fillId="0" borderId="12" xfId="1" applyFont="1" applyBorder="1" applyAlignment="1">
      <alignment horizontal="right" vertical="center"/>
    </xf>
    <xf numFmtId="38" fontId="0" fillId="0" borderId="88" xfId="1" applyFont="1" applyBorder="1">
      <alignment vertical="center"/>
    </xf>
    <xf numFmtId="38" fontId="0" fillId="0" borderId="89" xfId="1" applyFont="1" applyBorder="1">
      <alignment vertical="center"/>
    </xf>
    <xf numFmtId="38" fontId="0" fillId="4" borderId="0" xfId="1" applyFont="1" applyFill="1">
      <alignment vertical="center"/>
    </xf>
    <xf numFmtId="38" fontId="0" fillId="3" borderId="88" xfId="1" applyFont="1" applyFill="1" applyBorder="1">
      <alignment vertical="center"/>
    </xf>
    <xf numFmtId="38" fontId="0" fillId="3" borderId="89" xfId="1" applyFont="1" applyFill="1" applyBorder="1">
      <alignment vertical="center"/>
    </xf>
    <xf numFmtId="176" fontId="8" fillId="14" borderId="0" xfId="1" applyNumberFormat="1" applyFont="1" applyFill="1">
      <alignment vertical="center"/>
    </xf>
    <xf numFmtId="38" fontId="6" fillId="9" borderId="71" xfId="1" applyFont="1" applyFill="1" applyBorder="1">
      <alignment vertical="center"/>
    </xf>
    <xf numFmtId="180" fontId="6" fillId="0" borderId="0" xfId="1" applyNumberFormat="1" applyFont="1">
      <alignment vertical="center"/>
    </xf>
    <xf numFmtId="180" fontId="8" fillId="0" borderId="0" xfId="1" applyNumberFormat="1" applyFont="1" applyAlignment="1">
      <alignment horizontal="right" vertical="center"/>
    </xf>
    <xf numFmtId="177" fontId="6" fillId="3" borderId="0" xfId="1" applyNumberFormat="1" applyFont="1" applyFill="1">
      <alignment vertical="center"/>
    </xf>
    <xf numFmtId="38" fontId="8" fillId="0" borderId="0" xfId="3" applyFont="1" applyFill="1">
      <alignment vertical="center"/>
    </xf>
    <xf numFmtId="38" fontId="8" fillId="0" borderId="24" xfId="3" applyFont="1" applyFill="1" applyBorder="1">
      <alignment vertical="center"/>
    </xf>
    <xf numFmtId="38" fontId="8" fillId="0" borderId="15" xfId="3" applyFont="1" applyFill="1" applyBorder="1">
      <alignment vertical="center"/>
    </xf>
    <xf numFmtId="38" fontId="8" fillId="0" borderId="15" xfId="3" applyFont="1" applyBorder="1">
      <alignment vertical="center"/>
    </xf>
    <xf numFmtId="38" fontId="8" fillId="0" borderId="87" xfId="3" applyFont="1" applyBorder="1">
      <alignment vertical="center"/>
    </xf>
    <xf numFmtId="38" fontId="8" fillId="0" borderId="41" xfId="3" applyFont="1" applyBorder="1">
      <alignment vertical="center"/>
    </xf>
    <xf numFmtId="38" fontId="8" fillId="0" borderId="10" xfId="3" applyFont="1" applyBorder="1">
      <alignment vertical="center"/>
    </xf>
    <xf numFmtId="38" fontId="8" fillId="0" borderId="22" xfId="3" applyFont="1" applyBorder="1">
      <alignment vertical="center"/>
    </xf>
    <xf numFmtId="38" fontId="8" fillId="0" borderId="22" xfId="3" applyFont="1" applyFill="1" applyBorder="1">
      <alignment vertical="center"/>
    </xf>
    <xf numFmtId="38" fontId="8" fillId="0" borderId="13" xfId="3" applyFont="1" applyFill="1" applyBorder="1">
      <alignment vertical="center"/>
    </xf>
    <xf numFmtId="38" fontId="8" fillId="15" borderId="87" xfId="3" applyFont="1" applyFill="1" applyBorder="1">
      <alignment vertical="center"/>
    </xf>
    <xf numFmtId="38" fontId="8" fillId="16" borderId="41" xfId="3" applyFont="1" applyFill="1" applyBorder="1">
      <alignment vertical="center"/>
    </xf>
    <xf numFmtId="38" fontId="8" fillId="0" borderId="11" xfId="3" applyFont="1" applyBorder="1">
      <alignment vertical="center"/>
    </xf>
    <xf numFmtId="38" fontId="8" fillId="0" borderId="23" xfId="3" applyFont="1" applyBorder="1">
      <alignment vertical="center"/>
    </xf>
    <xf numFmtId="38" fontId="8" fillId="15" borderId="11" xfId="3" applyFont="1" applyFill="1" applyBorder="1">
      <alignment vertical="center"/>
    </xf>
    <xf numFmtId="38" fontId="8" fillId="15" borderId="0" xfId="3" applyFont="1" applyFill="1" applyBorder="1">
      <alignment vertical="center"/>
    </xf>
    <xf numFmtId="38" fontId="8" fillId="16" borderId="12" xfId="3" applyFont="1" applyFill="1" applyBorder="1">
      <alignment vertical="center"/>
    </xf>
    <xf numFmtId="38" fontId="8" fillId="0" borderId="12" xfId="3" applyFont="1" applyBorder="1">
      <alignment vertical="center"/>
    </xf>
    <xf numFmtId="38" fontId="8" fillId="0" borderId="24" xfId="3" applyFont="1" applyBorder="1">
      <alignment vertical="center"/>
    </xf>
    <xf numFmtId="38" fontId="6" fillId="12" borderId="0" xfId="3" applyFont="1" applyFill="1">
      <alignment vertical="center"/>
    </xf>
    <xf numFmtId="38" fontId="8" fillId="14" borderId="0" xfId="3" applyFont="1" applyFill="1">
      <alignment vertical="center"/>
    </xf>
    <xf numFmtId="179" fontId="8" fillId="14" borderId="0" xfId="3" applyNumberFormat="1" applyFont="1" applyFill="1">
      <alignment vertical="center"/>
    </xf>
    <xf numFmtId="38" fontId="23" fillId="0" borderId="0" xfId="3" applyFont="1">
      <alignment vertical="center"/>
    </xf>
    <xf numFmtId="38" fontId="23" fillId="0" borderId="0" xfId="3" applyFont="1" applyFill="1">
      <alignment vertical="center"/>
    </xf>
    <xf numFmtId="38" fontId="24" fillId="0" borderId="0" xfId="3" applyFont="1" applyFill="1">
      <alignment vertical="center"/>
    </xf>
    <xf numFmtId="38" fontId="8" fillId="0" borderId="0" xfId="3" applyFont="1" applyFill="1" applyBorder="1">
      <alignment vertical="center"/>
    </xf>
    <xf numFmtId="38" fontId="6" fillId="12" borderId="0" xfId="3" applyFont="1" applyFill="1" applyBorder="1">
      <alignment vertical="center"/>
    </xf>
    <xf numFmtId="38" fontId="8" fillId="0" borderId="81" xfId="3" applyFont="1" applyBorder="1">
      <alignment vertical="center"/>
    </xf>
    <xf numFmtId="38" fontId="8" fillId="0" borderId="81" xfId="3" applyFont="1" applyFill="1" applyBorder="1">
      <alignment vertical="center"/>
    </xf>
    <xf numFmtId="38" fontId="8" fillId="3" borderId="81" xfId="3" applyFont="1" applyFill="1" applyBorder="1">
      <alignment vertical="center"/>
    </xf>
    <xf numFmtId="38" fontId="5" fillId="0" borderId="0" xfId="3" applyFont="1">
      <alignment vertical="center"/>
    </xf>
    <xf numFmtId="40" fontId="8" fillId="3" borderId="0" xfId="3" applyNumberFormat="1" applyFont="1" applyFill="1" applyBorder="1">
      <alignment vertical="center"/>
    </xf>
    <xf numFmtId="38" fontId="5" fillId="0" borderId="0" xfId="3" applyFont="1" applyFill="1" applyBorder="1">
      <alignment vertical="center"/>
    </xf>
    <xf numFmtId="183" fontId="8" fillId="0" borderId="0" xfId="3" applyNumberFormat="1" applyFont="1" applyFill="1" applyBorder="1">
      <alignment vertical="center"/>
    </xf>
    <xf numFmtId="183" fontId="8" fillId="0" borderId="0" xfId="3" applyNumberFormat="1" applyFont="1" applyFill="1" applyBorder="1" applyAlignment="1">
      <alignment horizontal="center" vertical="center"/>
    </xf>
    <xf numFmtId="38" fontId="8" fillId="18" borderId="0" xfId="3" applyFont="1" applyFill="1">
      <alignment vertical="center"/>
    </xf>
    <xf numFmtId="38" fontId="26" fillId="18" borderId="0" xfId="3" applyFont="1" applyFill="1">
      <alignment vertical="center"/>
    </xf>
    <xf numFmtId="38" fontId="8" fillId="19" borderId="0" xfId="3" applyFont="1" applyFill="1">
      <alignment vertical="center"/>
    </xf>
    <xf numFmtId="38" fontId="8" fillId="18" borderId="0" xfId="3" quotePrefix="1" applyFont="1" applyFill="1">
      <alignment vertical="center"/>
    </xf>
    <xf numFmtId="38" fontId="8" fillId="19" borderId="1" xfId="3" applyFont="1" applyFill="1" applyBorder="1">
      <alignment vertical="center"/>
    </xf>
    <xf numFmtId="38" fontId="8" fillId="3" borderId="9" xfId="3" applyFont="1" applyFill="1" applyBorder="1">
      <alignment vertical="center"/>
    </xf>
    <xf numFmtId="176" fontId="0" fillId="0" borderId="0" xfId="1" applyNumberFormat="1" applyFont="1" applyBorder="1">
      <alignment vertical="center"/>
    </xf>
    <xf numFmtId="0" fontId="0" fillId="0" borderId="0" xfId="0">
      <alignment vertical="center"/>
    </xf>
    <xf numFmtId="38" fontId="0" fillId="0" borderId="0" xfId="1" applyFont="1">
      <alignment vertical="center"/>
    </xf>
    <xf numFmtId="9" fontId="0" fillId="0" borderId="0" xfId="2" applyFont="1">
      <alignment vertical="center"/>
    </xf>
    <xf numFmtId="38" fontId="0" fillId="0" borderId="0" xfId="1" applyFont="1" applyAlignment="1">
      <alignment horizontal="right" vertical="center"/>
    </xf>
    <xf numFmtId="38" fontId="0" fillId="0" borderId="10" xfId="1" applyFont="1" applyBorder="1">
      <alignment vertical="center"/>
    </xf>
    <xf numFmtId="38" fontId="0" fillId="0" borderId="11" xfId="1" applyFont="1" applyBorder="1">
      <alignment vertical="center"/>
    </xf>
    <xf numFmtId="38" fontId="0" fillId="0" borderId="12" xfId="1" applyFont="1" applyBorder="1">
      <alignment vertical="center"/>
    </xf>
    <xf numFmtId="38" fontId="0" fillId="0" borderId="24" xfId="1" applyFont="1" applyBorder="1">
      <alignment vertical="center"/>
    </xf>
    <xf numFmtId="10" fontId="0" fillId="0" borderId="0" xfId="2" applyNumberFormat="1" applyFont="1">
      <alignment vertical="center"/>
    </xf>
    <xf numFmtId="38" fontId="0" fillId="0" borderId="13" xfId="1" applyFont="1" applyBorder="1">
      <alignment vertical="center"/>
    </xf>
    <xf numFmtId="38" fontId="0" fillId="0" borderId="15" xfId="1" applyFont="1" applyBorder="1">
      <alignment vertical="center"/>
    </xf>
    <xf numFmtId="183" fontId="0" fillId="0" borderId="0" xfId="1" applyNumberFormat="1" applyFont="1">
      <alignment vertical="center"/>
    </xf>
    <xf numFmtId="38" fontId="0" fillId="0" borderId="14" xfId="1" applyFont="1" applyBorder="1">
      <alignment vertical="center"/>
    </xf>
    <xf numFmtId="9" fontId="0" fillId="0" borderId="15" xfId="2" applyFont="1" applyBorder="1">
      <alignment vertical="center"/>
    </xf>
    <xf numFmtId="9" fontId="0" fillId="0" borderId="14" xfId="2" applyFont="1" applyBorder="1">
      <alignment vertical="center"/>
    </xf>
    <xf numFmtId="178" fontId="0" fillId="0" borderId="0" xfId="2" applyNumberFormat="1" applyFont="1">
      <alignment vertical="center"/>
    </xf>
    <xf numFmtId="185" fontId="0" fillId="0" borderId="22" xfId="1" applyNumberFormat="1" applyFont="1" applyBorder="1">
      <alignment vertical="center"/>
    </xf>
    <xf numFmtId="185" fontId="0" fillId="0" borderId="13" xfId="1" applyNumberFormat="1" applyFont="1" applyBorder="1">
      <alignment vertical="center"/>
    </xf>
    <xf numFmtId="185" fontId="0" fillId="0" borderId="10" xfId="1" applyNumberFormat="1" applyFont="1" applyBorder="1">
      <alignment vertical="center"/>
    </xf>
    <xf numFmtId="186" fontId="0" fillId="0" borderId="0" xfId="1" applyNumberFormat="1" applyFont="1">
      <alignment vertical="center"/>
    </xf>
    <xf numFmtId="176" fontId="0" fillId="0" borderId="0" xfId="1" applyNumberFormat="1" applyFont="1" applyAlignment="1">
      <alignment horizontal="right" vertical="center"/>
    </xf>
    <xf numFmtId="38" fontId="6" fillId="3" borderId="0" xfId="1" applyFont="1" applyFill="1" applyAlignment="1">
      <alignment horizontal="right" vertical="center"/>
    </xf>
    <xf numFmtId="10" fontId="6" fillId="3" borderId="0" xfId="2" applyNumberFormat="1" applyFont="1" applyFill="1">
      <alignment vertical="center"/>
    </xf>
    <xf numFmtId="176" fontId="0" fillId="0" borderId="0" xfId="1" quotePrefix="1" applyNumberFormat="1" applyFont="1">
      <alignment vertical="center"/>
    </xf>
    <xf numFmtId="176" fontId="6" fillId="0" borderId="87" xfId="1" applyNumberFormat="1" applyFont="1" applyBorder="1">
      <alignment vertical="center"/>
    </xf>
    <xf numFmtId="176" fontId="6" fillId="0" borderId="81" xfId="1" applyNumberFormat="1" applyFont="1" applyBorder="1">
      <alignment vertical="center"/>
    </xf>
    <xf numFmtId="176" fontId="6" fillId="0" borderId="41" xfId="1" applyNumberFormat="1" applyFont="1" applyBorder="1">
      <alignment vertical="center"/>
    </xf>
    <xf numFmtId="176" fontId="0" fillId="0" borderId="24" xfId="1" applyNumberFormat="1" applyFont="1" applyBorder="1">
      <alignment vertical="center"/>
    </xf>
    <xf numFmtId="176" fontId="0" fillId="0" borderId="22" xfId="1" applyNumberFormat="1" applyFont="1" applyBorder="1">
      <alignment vertical="center"/>
    </xf>
    <xf numFmtId="176" fontId="6" fillId="3" borderId="9" xfId="1" applyNumberFormat="1" applyFont="1" applyFill="1" applyBorder="1">
      <alignment vertical="center"/>
    </xf>
    <xf numFmtId="38" fontId="8" fillId="0" borderId="13" xfId="3" applyFont="1" applyBorder="1">
      <alignment vertical="center"/>
    </xf>
    <xf numFmtId="178" fontId="8" fillId="0" borderId="0" xfId="2" applyNumberFormat="1" applyFont="1">
      <alignment vertical="center"/>
    </xf>
    <xf numFmtId="38" fontId="8" fillId="0" borderId="14" xfId="3" applyFont="1" applyBorder="1">
      <alignment vertical="center"/>
    </xf>
    <xf numFmtId="38" fontId="8" fillId="0" borderId="13" xfId="3" applyFont="1" applyBorder="1" applyAlignment="1">
      <alignment vertical="center"/>
    </xf>
    <xf numFmtId="38" fontId="8" fillId="0" borderId="14" xfId="3" applyFont="1" applyBorder="1" applyAlignment="1">
      <alignment vertical="center"/>
    </xf>
    <xf numFmtId="38" fontId="8" fillId="0" borderId="15" xfId="3" applyFont="1" applyBorder="1" applyAlignment="1">
      <alignment vertical="center"/>
    </xf>
    <xf numFmtId="38" fontId="8" fillId="19" borderId="13" xfId="3" applyFont="1" applyFill="1" applyBorder="1" applyAlignment="1">
      <alignment vertical="center"/>
    </xf>
    <xf numFmtId="38" fontId="8" fillId="19" borderId="15" xfId="3" applyFont="1" applyFill="1" applyBorder="1" applyAlignment="1">
      <alignment vertical="center"/>
    </xf>
    <xf numFmtId="40" fontId="8" fillId="3" borderId="0" xfId="3" applyNumberFormat="1" applyFont="1" applyFill="1">
      <alignment vertical="center"/>
    </xf>
    <xf numFmtId="38" fontId="8" fillId="0" borderId="61" xfId="3" applyFont="1" applyBorder="1">
      <alignment vertical="center"/>
    </xf>
    <xf numFmtId="38" fontId="8" fillId="4" borderId="0" xfId="3" applyFont="1" applyFill="1">
      <alignment vertical="center"/>
    </xf>
    <xf numFmtId="38" fontId="8" fillId="20" borderId="11" xfId="3" applyFont="1" applyFill="1" applyBorder="1">
      <alignment vertical="center"/>
    </xf>
    <xf numFmtId="40" fontId="8" fillId="20" borderId="12" xfId="3" applyNumberFormat="1" applyFont="1" applyFill="1" applyBorder="1">
      <alignment vertical="center"/>
    </xf>
    <xf numFmtId="40" fontId="8" fillId="15" borderId="1" xfId="3" applyNumberFormat="1" applyFont="1" applyFill="1" applyBorder="1">
      <alignment vertical="center"/>
    </xf>
    <xf numFmtId="38" fontId="8" fillId="4" borderId="0" xfId="3" quotePrefix="1" applyFont="1" applyFill="1">
      <alignment vertical="center"/>
    </xf>
    <xf numFmtId="40" fontId="8" fillId="4" borderId="0" xfId="1" applyNumberFormat="1" applyFont="1" applyFill="1">
      <alignment vertical="center"/>
    </xf>
    <xf numFmtId="38" fontId="8" fillId="3" borderId="0" xfId="3" applyFont="1" applyFill="1">
      <alignment vertical="center"/>
    </xf>
    <xf numFmtId="40" fontId="8" fillId="0" borderId="1" xfId="3" applyNumberFormat="1" applyFont="1" applyBorder="1">
      <alignment vertical="center"/>
    </xf>
    <xf numFmtId="183" fontId="8" fillId="3" borderId="0" xfId="1" applyNumberFormat="1" applyFont="1" applyFill="1">
      <alignment vertical="center"/>
    </xf>
    <xf numFmtId="38" fontId="5" fillId="0" borderId="0" xfId="3" quotePrefix="1" applyFont="1">
      <alignment vertical="center"/>
    </xf>
    <xf numFmtId="176" fontId="0" fillId="0" borderId="3" xfId="1" applyNumberFormat="1" applyFont="1" applyBorder="1" applyAlignment="1">
      <alignment horizontal="center" vertical="center"/>
    </xf>
    <xf numFmtId="176" fontId="0" fillId="0" borderId="4" xfId="1" applyNumberFormat="1" applyFont="1" applyBorder="1" applyAlignment="1">
      <alignment horizontal="center" vertical="center"/>
    </xf>
    <xf numFmtId="176" fontId="0" fillId="0" borderId="5" xfId="1" applyNumberFormat="1" applyFont="1" applyBorder="1" applyAlignment="1">
      <alignment horizontal="center" vertical="center"/>
    </xf>
    <xf numFmtId="176" fontId="0" fillId="0" borderId="2" xfId="1" applyNumberFormat="1" applyFont="1" applyBorder="1" applyAlignment="1">
      <alignment horizontal="left" vertical="center"/>
    </xf>
    <xf numFmtId="176" fontId="0" fillId="0" borderId="2" xfId="1" applyNumberFormat="1" applyFont="1" applyBorder="1" applyAlignment="1">
      <alignment horizontal="center" vertical="center"/>
    </xf>
    <xf numFmtId="38" fontId="11" fillId="0" borderId="43" xfId="1" applyFont="1" applyBorder="1" applyAlignment="1">
      <alignment horizontal="left" vertical="center"/>
    </xf>
    <xf numFmtId="38" fontId="11" fillId="0" borderId="42" xfId="1" applyFont="1" applyBorder="1" applyAlignment="1">
      <alignment horizontal="left" vertical="center"/>
    </xf>
    <xf numFmtId="38" fontId="11" fillId="0" borderId="50" xfId="1" applyFont="1" applyBorder="1" applyAlignment="1">
      <alignment horizontal="left" vertical="center"/>
    </xf>
    <xf numFmtId="38" fontId="11" fillId="0" borderId="51" xfId="1" applyFont="1" applyBorder="1" applyAlignment="1">
      <alignment horizontal="left" vertical="center"/>
    </xf>
    <xf numFmtId="38" fontId="11" fillId="0" borderId="26" xfId="1" applyFont="1" applyBorder="1" applyAlignment="1">
      <alignment horizontal="center" vertical="center"/>
    </xf>
    <xf numFmtId="38" fontId="11" fillId="0" borderId="28" xfId="1" applyFont="1" applyBorder="1" applyAlignment="1">
      <alignment horizontal="center" vertical="center"/>
    </xf>
    <xf numFmtId="176" fontId="8" fillId="4" borderId="13" xfId="1" applyNumberFormat="1" applyFont="1" applyFill="1" applyBorder="1" applyAlignment="1">
      <alignment horizontal="center" vertical="center" wrapText="1"/>
    </xf>
    <xf numFmtId="176" fontId="8" fillId="4" borderId="14" xfId="1" applyNumberFormat="1" applyFont="1" applyFill="1" applyBorder="1" applyAlignment="1">
      <alignment horizontal="center" vertical="center" wrapText="1"/>
    </xf>
    <xf numFmtId="176" fontId="8" fillId="4" borderId="15" xfId="1" applyNumberFormat="1" applyFont="1" applyFill="1" applyBorder="1" applyAlignment="1">
      <alignment horizontal="center" vertical="center" wrapText="1"/>
    </xf>
    <xf numFmtId="0" fontId="11" fillId="0" borderId="0" xfId="0" applyFont="1" applyAlignment="1">
      <alignment horizontal="left" vertical="center"/>
    </xf>
    <xf numFmtId="38" fontId="13" fillId="5" borderId="0" xfId="1" applyFont="1" applyFill="1" applyAlignment="1">
      <alignment horizontal="center" vertical="center"/>
    </xf>
    <xf numFmtId="38" fontId="11" fillId="5" borderId="0" xfId="1" applyFont="1" applyFill="1" applyAlignment="1">
      <alignment horizontal="center" vertical="center"/>
    </xf>
    <xf numFmtId="38" fontId="11" fillId="0" borderId="36" xfId="1" applyFont="1" applyBorder="1" applyAlignment="1">
      <alignment horizontal="left" vertical="center"/>
    </xf>
    <xf numFmtId="38" fontId="11" fillId="0" borderId="35" xfId="1" applyFont="1" applyBorder="1" applyAlignment="1">
      <alignment horizontal="left" vertical="center"/>
    </xf>
    <xf numFmtId="38" fontId="18" fillId="5" borderId="0" xfId="1" applyFont="1" applyFill="1" applyAlignment="1" applyProtection="1">
      <alignment horizontal="center" vertical="center"/>
    </xf>
    <xf numFmtId="0" fontId="11" fillId="0" borderId="32" xfId="0" applyFont="1" applyBorder="1" applyAlignment="1">
      <alignment horizontal="center" vertical="center"/>
    </xf>
    <xf numFmtId="0" fontId="11" fillId="0" borderId="53" xfId="0" applyFont="1" applyBorder="1" applyAlignment="1">
      <alignment horizontal="center" vertical="center"/>
    </xf>
    <xf numFmtId="0" fontId="11" fillId="0" borderId="67" xfId="0" applyFont="1" applyBorder="1" applyAlignment="1">
      <alignment horizontal="center" vertical="center"/>
    </xf>
    <xf numFmtId="38" fontId="9" fillId="0" borderId="71" xfId="1" applyFont="1" applyBorder="1" applyAlignment="1">
      <alignment horizontal="center" vertical="center"/>
    </xf>
    <xf numFmtId="38" fontId="9" fillId="0" borderId="72" xfId="1" applyFont="1" applyBorder="1" applyAlignment="1">
      <alignment horizontal="center" vertical="center"/>
    </xf>
    <xf numFmtId="38" fontId="11" fillId="0" borderId="73" xfId="1" applyFont="1" applyBorder="1" applyAlignment="1">
      <alignment horizontal="center" vertical="center"/>
    </xf>
    <xf numFmtId="38" fontId="11" fillId="0" borderId="14" xfId="1" applyFont="1" applyBorder="1" applyAlignment="1">
      <alignment horizontal="center" vertical="center"/>
    </xf>
    <xf numFmtId="38" fontId="11" fillId="0" borderId="69" xfId="1" applyFont="1" applyBorder="1" applyAlignment="1">
      <alignment horizontal="center" vertical="center"/>
    </xf>
    <xf numFmtId="38" fontId="11" fillId="0" borderId="33" xfId="1" applyFont="1" applyBorder="1" applyAlignment="1">
      <alignment horizontal="center" vertical="center"/>
    </xf>
    <xf numFmtId="38" fontId="9" fillId="0" borderId="57" xfId="1" applyFont="1" applyBorder="1" applyAlignment="1">
      <alignment horizontal="center" vertical="center"/>
    </xf>
    <xf numFmtId="38" fontId="9" fillId="0" borderId="79" xfId="1" applyFont="1" applyBorder="1" applyAlignment="1">
      <alignment horizontal="center" vertical="center"/>
    </xf>
    <xf numFmtId="38" fontId="11" fillId="0" borderId="22" xfId="1" applyFont="1" applyBorder="1" applyAlignment="1">
      <alignment horizontal="center" vertical="center"/>
    </xf>
    <xf numFmtId="38" fontId="9" fillId="0" borderId="76" xfId="1" applyFont="1" applyBorder="1" applyAlignment="1">
      <alignment horizontal="center" vertical="center"/>
    </xf>
    <xf numFmtId="38" fontId="9" fillId="0" borderId="61" xfId="1" applyFont="1" applyBorder="1" applyAlignment="1">
      <alignment horizontal="center" vertical="center"/>
    </xf>
    <xf numFmtId="38" fontId="9" fillId="0" borderId="22" xfId="1" applyFont="1" applyBorder="1" applyAlignment="1">
      <alignment horizontal="center" vertical="center"/>
    </xf>
    <xf numFmtId="38" fontId="11" fillId="0" borderId="13" xfId="1" applyFont="1" applyBorder="1" applyAlignment="1">
      <alignment horizontal="center" vertical="center"/>
    </xf>
    <xf numFmtId="183" fontId="8" fillId="0" borderId="87" xfId="1" applyNumberFormat="1" applyFont="1" applyBorder="1" applyAlignment="1">
      <alignment horizontal="center" vertical="center"/>
    </xf>
    <xf numFmtId="183" fontId="8" fillId="0" borderId="81" xfId="1" applyNumberFormat="1" applyFont="1" applyBorder="1" applyAlignment="1">
      <alignment horizontal="center" vertical="center"/>
    </xf>
    <xf numFmtId="183" fontId="8" fillId="0" borderId="41" xfId="1" applyNumberFormat="1" applyFont="1" applyBorder="1" applyAlignment="1">
      <alignment horizontal="center" vertical="center"/>
    </xf>
    <xf numFmtId="38" fontId="8" fillId="0" borderId="87" xfId="3" applyFont="1" applyFill="1" applyBorder="1" applyAlignment="1">
      <alignment horizontal="center" vertical="center"/>
    </xf>
    <xf numFmtId="38" fontId="8" fillId="0" borderId="81" xfId="3" applyFont="1" applyFill="1" applyBorder="1" applyAlignment="1">
      <alignment horizontal="center" vertical="center"/>
    </xf>
    <xf numFmtId="38" fontId="8" fillId="0" borderId="41" xfId="3" applyFont="1" applyFill="1" applyBorder="1" applyAlignment="1">
      <alignment horizontal="center" vertical="center"/>
    </xf>
    <xf numFmtId="183" fontId="8" fillId="0" borderId="87" xfId="3" applyNumberFormat="1" applyFont="1" applyFill="1" applyBorder="1" applyAlignment="1">
      <alignment horizontal="center" vertical="center"/>
    </xf>
    <xf numFmtId="183" fontId="8" fillId="0" borderId="81" xfId="3" applyNumberFormat="1" applyFont="1" applyFill="1" applyBorder="1" applyAlignment="1">
      <alignment horizontal="center" vertical="center"/>
    </xf>
    <xf numFmtId="183" fontId="8" fillId="0" borderId="41" xfId="3" applyNumberFormat="1" applyFont="1" applyFill="1" applyBorder="1" applyAlignment="1">
      <alignment horizontal="center" vertical="center"/>
    </xf>
    <xf numFmtId="38" fontId="25" fillId="17" borderId="13" xfId="3" applyFont="1" applyFill="1" applyBorder="1" applyAlignment="1">
      <alignment horizontal="left" vertical="center" wrapText="1"/>
    </xf>
    <xf numFmtId="38" fontId="25" fillId="17" borderId="14" xfId="3" applyFont="1" applyFill="1" applyBorder="1" applyAlignment="1">
      <alignment horizontal="left" vertical="center" wrapText="1"/>
    </xf>
    <xf numFmtId="38" fontId="25" fillId="17" borderId="15" xfId="3" applyFont="1" applyFill="1" applyBorder="1" applyAlignment="1">
      <alignment horizontal="left" vertical="center" wrapText="1"/>
    </xf>
    <xf numFmtId="9" fontId="0" fillId="0" borderId="89" xfId="2" applyFont="1" applyBorder="1" applyAlignment="1">
      <alignment horizontal="left" vertical="center"/>
    </xf>
    <xf numFmtId="38" fontId="0" fillId="3" borderId="0" xfId="1" applyFont="1" applyFill="1" applyAlignment="1">
      <alignment vertical="center"/>
    </xf>
    <xf numFmtId="0" fontId="0" fillId="3" borderId="0" xfId="0" applyFill="1" applyAlignment="1">
      <alignment vertical="center"/>
    </xf>
    <xf numFmtId="38" fontId="0" fillId="4" borderId="0" xfId="1" applyFont="1" applyFill="1" applyAlignment="1">
      <alignment vertical="center"/>
    </xf>
    <xf numFmtId="0" fontId="0" fillId="4" borderId="0" xfId="0" applyFill="1" applyAlignment="1">
      <alignment vertical="center"/>
    </xf>
    <xf numFmtId="9" fontId="0" fillId="0" borderId="88" xfId="2" applyFont="1" applyBorder="1" applyAlignment="1">
      <alignment horizontal="left" vertical="center"/>
    </xf>
    <xf numFmtId="38" fontId="0" fillId="2" borderId="0" xfId="1" applyFont="1" applyFill="1" applyAlignment="1">
      <alignment vertical="center"/>
    </xf>
    <xf numFmtId="0" fontId="0" fillId="2" borderId="0" xfId="0" applyFill="1" applyAlignment="1">
      <alignment vertical="center"/>
    </xf>
    <xf numFmtId="183" fontId="8" fillId="0" borderId="87" xfId="3" applyNumberFormat="1" applyFont="1" applyBorder="1" applyAlignment="1">
      <alignment horizontal="center" vertical="center"/>
    </xf>
    <xf numFmtId="183" fontId="8" fillId="0" borderId="81" xfId="3" applyNumberFormat="1" applyFont="1" applyBorder="1" applyAlignment="1">
      <alignment horizontal="center" vertical="center"/>
    </xf>
    <xf numFmtId="183" fontId="8" fillId="0" borderId="41" xfId="3" applyNumberFormat="1" applyFont="1" applyBorder="1" applyAlignment="1">
      <alignment horizontal="center" vertical="center"/>
    </xf>
    <xf numFmtId="9" fontId="0" fillId="3" borderId="89" xfId="2" applyFont="1" applyFill="1" applyBorder="1" applyAlignment="1">
      <alignment horizontal="left" vertical="center" wrapText="1"/>
    </xf>
    <xf numFmtId="9" fontId="0" fillId="3" borderId="89" xfId="2" applyFont="1" applyFill="1" applyBorder="1" applyAlignment="1">
      <alignment horizontal="left" vertical="center"/>
    </xf>
    <xf numFmtId="184" fontId="8" fillId="0" borderId="87" xfId="3" applyNumberFormat="1" applyFont="1" applyBorder="1" applyAlignment="1">
      <alignment horizontal="center" vertical="center"/>
    </xf>
    <xf numFmtId="184" fontId="8" fillId="0" borderId="81" xfId="3" applyNumberFormat="1" applyFont="1" applyBorder="1" applyAlignment="1">
      <alignment horizontal="center" vertical="center"/>
    </xf>
    <xf numFmtId="184" fontId="8" fillId="0" borderId="41" xfId="3" applyNumberFormat="1" applyFont="1" applyBorder="1" applyAlignment="1">
      <alignment horizontal="center" vertical="center"/>
    </xf>
    <xf numFmtId="181" fontId="8" fillId="0" borderId="87" xfId="1" applyNumberFormat="1" applyFont="1" applyBorder="1" applyAlignment="1">
      <alignment horizontal="center" vertical="center"/>
    </xf>
    <xf numFmtId="181" fontId="8" fillId="0" borderId="81" xfId="1" applyNumberFormat="1" applyFont="1" applyBorder="1" applyAlignment="1">
      <alignment horizontal="center" vertical="center"/>
    </xf>
    <xf numFmtId="181" fontId="8" fillId="0" borderId="41" xfId="1" applyNumberFormat="1" applyFont="1" applyBorder="1" applyAlignment="1">
      <alignment horizontal="center" vertical="center"/>
    </xf>
    <xf numFmtId="38" fontId="8" fillId="0" borderId="0" xfId="3" applyFont="1" applyAlignment="1">
      <alignment horizontal="center" vertical="center"/>
    </xf>
    <xf numFmtId="176" fontId="0" fillId="0" borderId="0" xfId="1" applyNumberFormat="1" applyFont="1" applyAlignment="1">
      <alignment horizontal="center" vertical="center"/>
    </xf>
    <xf numFmtId="38" fontId="8" fillId="4" borderId="0" xfId="3" applyFont="1" applyFill="1" applyAlignment="1">
      <alignment horizontal="center" vertical="center"/>
    </xf>
    <xf numFmtId="38" fontId="8" fillId="3" borderId="0" xfId="3" applyFont="1" applyFill="1" applyAlignment="1">
      <alignment horizontal="center" vertical="center"/>
    </xf>
    <xf numFmtId="38" fontId="8" fillId="4" borderId="1" xfId="3" applyFont="1" applyFill="1" applyBorder="1" applyAlignment="1">
      <alignment horizontal="center" vertical="center"/>
    </xf>
  </cellXfs>
  <cellStyles count="4">
    <cellStyle name="パーセント" xfId="2" builtinId="5"/>
    <cellStyle name="桁区切り" xfId="1" builtinId="6"/>
    <cellStyle name="桁区切り 2" xfId="3" xr:uid="{C770E2B9-F45C-482D-8EF8-33A1646EC537}"/>
    <cellStyle name="標準" xfId="0" builtinId="0"/>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108857</xdr:colOff>
      <xdr:row>181</xdr:row>
      <xdr:rowOff>122464</xdr:rowOff>
    </xdr:from>
    <xdr:to>
      <xdr:col>10</xdr:col>
      <xdr:colOff>816429</xdr:colOff>
      <xdr:row>199</xdr:row>
      <xdr:rowOff>0</xdr:rowOff>
    </xdr:to>
    <xdr:sp macro="" textlink="">
      <xdr:nvSpPr>
        <xdr:cNvPr id="8" name="フリーフォーム: 図形 7">
          <a:extLst>
            <a:ext uri="{FF2B5EF4-FFF2-40B4-BE49-F238E27FC236}">
              <a16:creationId xmlns:a16="http://schemas.microsoft.com/office/drawing/2014/main" id="{C6720F0F-211C-4706-87DA-88EBE55A0741}"/>
            </a:ext>
          </a:extLst>
        </xdr:cNvPr>
        <xdr:cNvSpPr/>
      </xdr:nvSpPr>
      <xdr:spPr>
        <a:xfrm>
          <a:off x="8940437" y="21984244"/>
          <a:ext cx="707572" cy="3580856"/>
        </a:xfrm>
        <a:custGeom>
          <a:avLst/>
          <a:gdLst>
            <a:gd name="connsiteX0" fmla="*/ 0 w 707572"/>
            <a:gd name="connsiteY0" fmla="*/ 0 h 3551464"/>
            <a:gd name="connsiteX1" fmla="*/ 707572 w 707572"/>
            <a:gd name="connsiteY1" fmla="*/ 1646464 h 3551464"/>
            <a:gd name="connsiteX2" fmla="*/ 0 w 707572"/>
            <a:gd name="connsiteY2" fmla="*/ 3551464 h 3551464"/>
          </a:gdLst>
          <a:ahLst/>
          <a:cxnLst>
            <a:cxn ang="0">
              <a:pos x="connsiteX0" y="connsiteY0"/>
            </a:cxn>
            <a:cxn ang="0">
              <a:pos x="connsiteX1" y="connsiteY1"/>
            </a:cxn>
            <a:cxn ang="0">
              <a:pos x="connsiteX2" y="connsiteY2"/>
            </a:cxn>
          </a:cxnLst>
          <a:rect l="l" t="t" r="r" b="b"/>
          <a:pathLst>
            <a:path w="707572" h="3551464">
              <a:moveTo>
                <a:pt x="0" y="0"/>
              </a:moveTo>
              <a:cubicBezTo>
                <a:pt x="353786" y="527276"/>
                <a:pt x="707572" y="1054553"/>
                <a:pt x="707572" y="1646464"/>
              </a:cubicBezTo>
              <a:cubicBezTo>
                <a:pt x="707572" y="2238375"/>
                <a:pt x="353786" y="2894919"/>
                <a:pt x="0" y="3551464"/>
              </a:cubicBezTo>
            </a:path>
          </a:pathLst>
        </a:custGeom>
        <a:noFill/>
        <a:ln>
          <a:headEnd type="arrow"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866775</xdr:colOff>
      <xdr:row>333</xdr:row>
      <xdr:rowOff>133351</xdr:rowOff>
    </xdr:from>
    <xdr:to>
      <xdr:col>5</xdr:col>
      <xdr:colOff>0</xdr:colOff>
      <xdr:row>382</xdr:row>
      <xdr:rowOff>28576</xdr:rowOff>
    </xdr:to>
    <xdr:sp macro="" textlink="">
      <xdr:nvSpPr>
        <xdr:cNvPr id="2" name="正方形/長方形 1">
          <a:extLst>
            <a:ext uri="{FF2B5EF4-FFF2-40B4-BE49-F238E27FC236}">
              <a16:creationId xmlns:a16="http://schemas.microsoft.com/office/drawing/2014/main" id="{983D2803-BEDE-4ABE-8537-696EFA7A94DA}"/>
            </a:ext>
          </a:extLst>
        </xdr:cNvPr>
        <xdr:cNvSpPr/>
      </xdr:nvSpPr>
      <xdr:spPr>
        <a:xfrm>
          <a:off x="2756535" y="8225791"/>
          <a:ext cx="931545" cy="99841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923364</xdr:colOff>
      <xdr:row>21</xdr:row>
      <xdr:rowOff>26894</xdr:rowOff>
    </xdr:from>
    <xdr:to>
      <xdr:col>10</xdr:col>
      <xdr:colOff>143435</xdr:colOff>
      <xdr:row>26</xdr:row>
      <xdr:rowOff>8965</xdr:rowOff>
    </xdr:to>
    <xdr:cxnSp macro="">
      <xdr:nvCxnSpPr>
        <xdr:cNvPr id="3" name="直線コネクタ 2">
          <a:extLst>
            <a:ext uri="{FF2B5EF4-FFF2-40B4-BE49-F238E27FC236}">
              <a16:creationId xmlns:a16="http://schemas.microsoft.com/office/drawing/2014/main" id="{0712E4CF-ECB9-DDE2-41E9-E86F9A707264}"/>
            </a:ext>
          </a:extLst>
        </xdr:cNvPr>
        <xdr:cNvCxnSpPr/>
      </xdr:nvCxnSpPr>
      <xdr:spPr>
        <a:xfrm flipV="1">
          <a:off x="6571129" y="4356847"/>
          <a:ext cx="2985247" cy="10130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15239</xdr:colOff>
      <xdr:row>163</xdr:row>
      <xdr:rowOff>66058</xdr:rowOff>
    </xdr:from>
    <xdr:to>
      <xdr:col>14</xdr:col>
      <xdr:colOff>807720</xdr:colOff>
      <xdr:row>170</xdr:row>
      <xdr:rowOff>53339</xdr:rowOff>
    </xdr:to>
    <xdr:pic>
      <xdr:nvPicPr>
        <xdr:cNvPr id="4" name="図 3">
          <a:extLst>
            <a:ext uri="{FF2B5EF4-FFF2-40B4-BE49-F238E27FC236}">
              <a16:creationId xmlns:a16="http://schemas.microsoft.com/office/drawing/2014/main" id="{D7142E54-91E5-4A26-AF27-41F31FABB442}"/>
            </a:ext>
          </a:extLst>
        </xdr:cNvPr>
        <xdr:cNvPicPr>
          <a:picLocks noChangeAspect="1"/>
        </xdr:cNvPicPr>
      </xdr:nvPicPr>
      <xdr:blipFill rotWithShape="1">
        <a:blip xmlns:r="http://schemas.openxmlformats.org/officeDocument/2006/relationships" r:embed="rId1"/>
        <a:srcRect l="5981" t="58600" r="7787" b="20806"/>
        <a:stretch/>
      </xdr:blipFill>
      <xdr:spPr>
        <a:xfrm>
          <a:off x="7208519" y="8806198"/>
          <a:ext cx="5478781" cy="1427461"/>
        </a:xfrm>
        <a:prstGeom prst="rect">
          <a:avLst/>
        </a:prstGeom>
      </xdr:spPr>
    </xdr:pic>
    <xdr:clientData/>
  </xdr:twoCellAnchor>
  <xdr:twoCellAnchor editAs="oneCell">
    <xdr:from>
      <xdr:col>9</xdr:col>
      <xdr:colOff>22860</xdr:colOff>
      <xdr:row>148</xdr:row>
      <xdr:rowOff>15240</xdr:rowOff>
    </xdr:from>
    <xdr:to>
      <xdr:col>13</xdr:col>
      <xdr:colOff>600493</xdr:colOff>
      <xdr:row>157</xdr:row>
      <xdr:rowOff>184327</xdr:rowOff>
    </xdr:to>
    <xdr:pic>
      <xdr:nvPicPr>
        <xdr:cNvPr id="5" name="図 4">
          <a:extLst>
            <a:ext uri="{FF2B5EF4-FFF2-40B4-BE49-F238E27FC236}">
              <a16:creationId xmlns:a16="http://schemas.microsoft.com/office/drawing/2014/main" id="{1C9C2883-24C3-4D1A-8003-64235C4DC35E}"/>
            </a:ext>
          </a:extLst>
        </xdr:cNvPr>
        <xdr:cNvPicPr>
          <a:picLocks noChangeAspect="1"/>
        </xdr:cNvPicPr>
      </xdr:nvPicPr>
      <xdr:blipFill rotWithShape="1">
        <a:blip xmlns:r="http://schemas.openxmlformats.org/officeDocument/2006/relationships" r:embed="rId2"/>
        <a:srcRect l="12021" t="42404" r="13430" b="28130"/>
        <a:stretch/>
      </xdr:blipFill>
      <xdr:spPr>
        <a:xfrm>
          <a:off x="7216140" y="5669280"/>
          <a:ext cx="4326673" cy="2020747"/>
        </a:xfrm>
        <a:prstGeom prst="rect">
          <a:avLst/>
        </a:prstGeom>
        <a:ln>
          <a:solidFill>
            <a:schemeClr val="bg1">
              <a:lumMod val="75000"/>
            </a:schemeClr>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259771</xdr:colOff>
      <xdr:row>156</xdr:row>
      <xdr:rowOff>51089</xdr:rowOff>
    </xdr:from>
    <xdr:to>
      <xdr:col>10</xdr:col>
      <xdr:colOff>1160318</xdr:colOff>
      <xdr:row>164</xdr:row>
      <xdr:rowOff>12989</xdr:rowOff>
    </xdr:to>
    <xdr:sp macro="" textlink="">
      <xdr:nvSpPr>
        <xdr:cNvPr id="2" name="AutoShape 36">
          <a:extLst>
            <a:ext uri="{FF2B5EF4-FFF2-40B4-BE49-F238E27FC236}">
              <a16:creationId xmlns:a16="http://schemas.microsoft.com/office/drawing/2014/main" id="{3D6A1A85-F214-44D1-9269-13C9E6BB5BA7}"/>
            </a:ext>
          </a:extLst>
        </xdr:cNvPr>
        <xdr:cNvSpPr>
          <a:spLocks noChangeArrowheads="1"/>
        </xdr:cNvSpPr>
      </xdr:nvSpPr>
      <xdr:spPr bwMode="auto">
        <a:xfrm>
          <a:off x="11537371" y="8555009"/>
          <a:ext cx="3354187" cy="215646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0" bIns="22860" anchor="ctr" upright="1"/>
        <a:lstStyle/>
        <a:p>
          <a:pPr algn="l" rtl="0">
            <a:lnSpc>
              <a:spcPts val="1700"/>
            </a:lnSpc>
            <a:defRPr sz="1000"/>
          </a:pPr>
          <a:r>
            <a:rPr lang="ja-JP" altLang="en-US" sz="1400" b="0" i="0" strike="noStrike">
              <a:solidFill>
                <a:srgbClr val="000000"/>
              </a:solidFill>
              <a:latin typeface="ＭＳ Ｐゴシック"/>
              <a:ea typeface="ＭＳ Ｐゴシック"/>
            </a:rPr>
            <a:t>　　　　　　　　　　　　</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入力欄の留意点</a:t>
          </a:r>
          <a:r>
            <a:rPr lang="en-US" altLang="ja-JP" sz="1400" b="0" i="0" strike="noStrike">
              <a:solidFill>
                <a:srgbClr val="000000"/>
              </a:solidFill>
              <a:latin typeface="ＭＳ Ｐゴシック"/>
              <a:ea typeface="ＭＳ Ｐゴシック"/>
            </a:rPr>
            <a:t>】</a:t>
          </a:r>
        </a:p>
        <a:p>
          <a:pPr algn="l" rtl="0">
            <a:lnSpc>
              <a:spcPts val="1700"/>
            </a:lnSpc>
            <a:defRPr sz="1000"/>
          </a:pPr>
          <a:endParaRPr lang="en-US" altLang="ja-JP" sz="1400" b="0" i="0" strike="noStrike">
            <a:solidFill>
              <a:srgbClr val="000000"/>
            </a:solidFill>
            <a:latin typeface="ＭＳ Ｐゴシック"/>
            <a:ea typeface="ＭＳ Ｐゴシック"/>
          </a:endParaRPr>
        </a:p>
        <a:p>
          <a:pPr algn="l" rtl="0">
            <a:lnSpc>
              <a:spcPts val="1700"/>
            </a:lnSpc>
            <a:defRPr sz="1000"/>
          </a:pPr>
          <a:r>
            <a:rPr lang="en-US" altLang="ja-JP" sz="1400" b="0" i="0" strike="noStrike">
              <a:solidFill>
                <a:srgbClr val="000000"/>
              </a:solidFill>
              <a:latin typeface="ＭＳ Ｐゴシック"/>
              <a:ea typeface="ＭＳ Ｐゴシック"/>
            </a:rPr>
            <a:t>①</a:t>
          </a:r>
          <a:r>
            <a:rPr lang="ja-JP" altLang="en-US" sz="1400" b="0" i="0" strike="noStrike">
              <a:solidFill>
                <a:srgbClr val="000000"/>
              </a:solidFill>
              <a:latin typeface="ＭＳ Ｐゴシック"/>
              <a:ea typeface="ＭＳ Ｐゴシック"/>
            </a:rPr>
            <a:t>前期欄には前期の決算書の数値を入力してください。</a:t>
          </a:r>
        </a:p>
        <a:p>
          <a:pPr algn="l" rtl="0">
            <a:lnSpc>
              <a:spcPts val="1700"/>
            </a:lnSpc>
            <a:defRPr sz="1000"/>
          </a:pPr>
          <a:r>
            <a:rPr lang="ja-JP" altLang="en-US" sz="1400" b="0" i="0" strike="noStrike">
              <a:solidFill>
                <a:srgbClr val="000000"/>
              </a:solidFill>
              <a:latin typeface="ＭＳ Ｐゴシック"/>
              <a:ea typeface="ＭＳ Ｐゴシック"/>
            </a:rPr>
            <a:t>②当期欄には最新の月次試算表の数値を入力してください。</a:t>
          </a:r>
        </a:p>
        <a:p>
          <a:pPr algn="l" rtl="0">
            <a:lnSpc>
              <a:spcPts val="1700"/>
            </a:lnSpc>
            <a:defRPr sz="1000"/>
          </a:pPr>
          <a:endParaRPr lang="ja-JP" altLang="en-US" sz="1400" b="0" i="0" strike="noStrike">
            <a:solidFill>
              <a:srgbClr val="000000"/>
            </a:solidFill>
            <a:latin typeface="ＭＳ Ｐゴシック"/>
            <a:ea typeface="ＭＳ Ｐゴシック"/>
          </a:endParaRPr>
        </a:p>
        <a:p>
          <a:pPr algn="l" rtl="0">
            <a:lnSpc>
              <a:spcPts val="1600"/>
            </a:lnSpc>
            <a:defRPr sz="1000"/>
          </a:pPr>
          <a:r>
            <a:rPr lang="ja-JP" altLang="en-US" sz="1400" b="0" i="0" strike="noStrike">
              <a:solidFill>
                <a:srgbClr val="000000"/>
              </a:solidFill>
              <a:latin typeface="ＭＳ Ｐゴシック"/>
              <a:ea typeface="ＭＳ Ｐゴシック"/>
            </a:rPr>
            <a:t>詳しい入力の仕方は、</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シート⑨</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をご参照ください。</a:t>
          </a:r>
        </a:p>
      </xdr:txBody>
    </xdr:sp>
    <xdr:clientData/>
  </xdr:twoCellAnchor>
  <xdr:twoCellAnchor>
    <xdr:from>
      <xdr:col>12</xdr:col>
      <xdr:colOff>3114675</xdr:colOff>
      <xdr:row>181</xdr:row>
      <xdr:rowOff>47625</xdr:rowOff>
    </xdr:from>
    <xdr:to>
      <xdr:col>14</xdr:col>
      <xdr:colOff>1123950</xdr:colOff>
      <xdr:row>182</xdr:row>
      <xdr:rowOff>133350</xdr:rowOff>
    </xdr:to>
    <xdr:sp macro="" textlink="">
      <xdr:nvSpPr>
        <xdr:cNvPr id="3" name="Freeform 7">
          <a:extLst>
            <a:ext uri="{FF2B5EF4-FFF2-40B4-BE49-F238E27FC236}">
              <a16:creationId xmlns:a16="http://schemas.microsoft.com/office/drawing/2014/main" id="{832DDE1E-00E4-4A71-AE51-34B2648FF20B}"/>
            </a:ext>
          </a:extLst>
        </xdr:cNvPr>
        <xdr:cNvSpPr>
          <a:spLocks/>
        </xdr:cNvSpPr>
      </xdr:nvSpPr>
      <xdr:spPr bwMode="auto">
        <a:xfrm>
          <a:off x="18682335" y="15409545"/>
          <a:ext cx="2505075" cy="360045"/>
        </a:xfrm>
        <a:custGeom>
          <a:avLst/>
          <a:gdLst>
            <a:gd name="T0" fmla="*/ 0 w 231"/>
            <a:gd name="T1" fmla="*/ 2147483647 h 47"/>
            <a:gd name="T2" fmla="*/ 2147483647 w 231"/>
            <a:gd name="T3" fmla="*/ 2147483647 h 47"/>
            <a:gd name="T4" fmla="*/ 2147483647 w 231"/>
            <a:gd name="T5" fmla="*/ 0 h 47"/>
            <a:gd name="T6" fmla="*/ 0 60000 65536"/>
            <a:gd name="T7" fmla="*/ 0 60000 65536"/>
            <a:gd name="T8" fmla="*/ 0 60000 65536"/>
            <a:gd name="T9" fmla="*/ 0 w 231"/>
            <a:gd name="T10" fmla="*/ 0 h 47"/>
            <a:gd name="T11" fmla="*/ 231 w 231"/>
            <a:gd name="T12" fmla="*/ 47 h 47"/>
          </a:gdLst>
          <a:ahLst/>
          <a:cxnLst>
            <a:cxn ang="T6">
              <a:pos x="T0" y="T1"/>
            </a:cxn>
            <a:cxn ang="T7">
              <a:pos x="T2" y="T3"/>
            </a:cxn>
            <a:cxn ang="T8">
              <a:pos x="T4" y="T5"/>
            </a:cxn>
          </a:cxnLst>
          <a:rect l="T9" t="T10" r="T11" b="T12"/>
          <a:pathLst>
            <a:path w="231" h="47">
              <a:moveTo>
                <a:pt x="0" y="47"/>
              </a:moveTo>
              <a:lnTo>
                <a:pt x="231" y="47"/>
              </a:lnTo>
              <a:lnTo>
                <a:pt x="231" y="0"/>
              </a:lnTo>
            </a:path>
          </a:pathLst>
        </a:custGeom>
        <a:noFill/>
        <a:ln w="38100">
          <a:solidFill>
            <a:srgbClr val="0000FF"/>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259771</xdr:colOff>
      <xdr:row>222</xdr:row>
      <xdr:rowOff>51089</xdr:rowOff>
    </xdr:from>
    <xdr:to>
      <xdr:col>10</xdr:col>
      <xdr:colOff>1160318</xdr:colOff>
      <xdr:row>230</xdr:row>
      <xdr:rowOff>12989</xdr:rowOff>
    </xdr:to>
    <xdr:sp macro="" textlink="">
      <xdr:nvSpPr>
        <xdr:cNvPr id="4" name="AutoShape 36">
          <a:extLst>
            <a:ext uri="{FF2B5EF4-FFF2-40B4-BE49-F238E27FC236}">
              <a16:creationId xmlns:a16="http://schemas.microsoft.com/office/drawing/2014/main" id="{0D5F5A1F-EAD4-4729-89BF-4A813B5F5AE1}"/>
            </a:ext>
          </a:extLst>
        </xdr:cNvPr>
        <xdr:cNvSpPr>
          <a:spLocks noChangeArrowheads="1"/>
        </xdr:cNvSpPr>
      </xdr:nvSpPr>
      <xdr:spPr bwMode="auto">
        <a:xfrm>
          <a:off x="7790124" y="32386783"/>
          <a:ext cx="2562155" cy="1665194"/>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0" bIns="22860" anchor="ctr" upright="1"/>
        <a:lstStyle/>
        <a:p>
          <a:pPr algn="l" rtl="0">
            <a:lnSpc>
              <a:spcPts val="1700"/>
            </a:lnSpc>
            <a:defRPr sz="1000"/>
          </a:pPr>
          <a:r>
            <a:rPr lang="ja-JP" altLang="en-US" sz="1400" b="0" i="0" strike="noStrike">
              <a:solidFill>
                <a:srgbClr val="000000"/>
              </a:solidFill>
              <a:latin typeface="ＭＳ Ｐゴシック"/>
              <a:ea typeface="ＭＳ Ｐゴシック"/>
            </a:rPr>
            <a:t>　　　　　　　　　　　　</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入力欄の留意点</a:t>
          </a:r>
          <a:r>
            <a:rPr lang="en-US" altLang="ja-JP" sz="1400" b="0" i="0" strike="noStrike">
              <a:solidFill>
                <a:srgbClr val="000000"/>
              </a:solidFill>
              <a:latin typeface="ＭＳ Ｐゴシック"/>
              <a:ea typeface="ＭＳ Ｐゴシック"/>
            </a:rPr>
            <a:t>】</a:t>
          </a:r>
        </a:p>
        <a:p>
          <a:pPr algn="l" rtl="0">
            <a:lnSpc>
              <a:spcPts val="1700"/>
            </a:lnSpc>
            <a:defRPr sz="1000"/>
          </a:pPr>
          <a:endParaRPr lang="en-US" altLang="ja-JP" sz="1400" b="0" i="0" strike="noStrike">
            <a:solidFill>
              <a:srgbClr val="000000"/>
            </a:solidFill>
            <a:latin typeface="ＭＳ Ｐゴシック"/>
            <a:ea typeface="ＭＳ Ｐゴシック"/>
          </a:endParaRPr>
        </a:p>
        <a:p>
          <a:pPr algn="l" rtl="0">
            <a:lnSpc>
              <a:spcPts val="1700"/>
            </a:lnSpc>
            <a:defRPr sz="1000"/>
          </a:pPr>
          <a:r>
            <a:rPr lang="en-US" altLang="ja-JP" sz="1400" b="0" i="0" strike="noStrike">
              <a:solidFill>
                <a:srgbClr val="000000"/>
              </a:solidFill>
              <a:latin typeface="ＭＳ Ｐゴシック"/>
              <a:ea typeface="ＭＳ Ｐゴシック"/>
            </a:rPr>
            <a:t>①</a:t>
          </a:r>
          <a:r>
            <a:rPr lang="ja-JP" altLang="en-US" sz="1400" b="0" i="0" strike="noStrike">
              <a:solidFill>
                <a:srgbClr val="000000"/>
              </a:solidFill>
              <a:latin typeface="ＭＳ Ｐゴシック"/>
              <a:ea typeface="ＭＳ Ｐゴシック"/>
            </a:rPr>
            <a:t>前期欄には前期の決算書の数値を入力してください。</a:t>
          </a:r>
        </a:p>
        <a:p>
          <a:pPr algn="l" rtl="0">
            <a:lnSpc>
              <a:spcPts val="1700"/>
            </a:lnSpc>
            <a:defRPr sz="1000"/>
          </a:pPr>
          <a:r>
            <a:rPr lang="ja-JP" altLang="en-US" sz="1400" b="0" i="0" strike="noStrike">
              <a:solidFill>
                <a:srgbClr val="000000"/>
              </a:solidFill>
              <a:latin typeface="ＭＳ Ｐゴシック"/>
              <a:ea typeface="ＭＳ Ｐゴシック"/>
            </a:rPr>
            <a:t>②当期欄には最新の月次試算表の数値を入力してください。</a:t>
          </a:r>
        </a:p>
        <a:p>
          <a:pPr algn="l" rtl="0">
            <a:lnSpc>
              <a:spcPts val="1700"/>
            </a:lnSpc>
            <a:defRPr sz="1000"/>
          </a:pPr>
          <a:endParaRPr lang="ja-JP" altLang="en-US" sz="1400" b="0" i="0" strike="noStrike">
            <a:solidFill>
              <a:srgbClr val="000000"/>
            </a:solidFill>
            <a:latin typeface="ＭＳ Ｐゴシック"/>
            <a:ea typeface="ＭＳ Ｐゴシック"/>
          </a:endParaRPr>
        </a:p>
        <a:p>
          <a:pPr algn="l" rtl="0">
            <a:lnSpc>
              <a:spcPts val="1600"/>
            </a:lnSpc>
            <a:defRPr sz="1000"/>
          </a:pPr>
          <a:r>
            <a:rPr lang="ja-JP" altLang="en-US" sz="1400" b="0" i="0" strike="noStrike">
              <a:solidFill>
                <a:srgbClr val="000000"/>
              </a:solidFill>
              <a:latin typeface="ＭＳ Ｐゴシック"/>
              <a:ea typeface="ＭＳ Ｐゴシック"/>
            </a:rPr>
            <a:t>詳しい入力の仕方は、</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シート⑨</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をご参照ください。</a:t>
          </a:r>
        </a:p>
      </xdr:txBody>
    </xdr:sp>
    <xdr:clientData/>
  </xdr:twoCellAnchor>
  <xdr:twoCellAnchor>
    <xdr:from>
      <xdr:col>12</xdr:col>
      <xdr:colOff>3114675</xdr:colOff>
      <xdr:row>247</xdr:row>
      <xdr:rowOff>47625</xdr:rowOff>
    </xdr:from>
    <xdr:to>
      <xdr:col>14</xdr:col>
      <xdr:colOff>1123950</xdr:colOff>
      <xdr:row>248</xdr:row>
      <xdr:rowOff>133350</xdr:rowOff>
    </xdr:to>
    <xdr:sp macro="" textlink="">
      <xdr:nvSpPr>
        <xdr:cNvPr id="5" name="Freeform 7">
          <a:extLst>
            <a:ext uri="{FF2B5EF4-FFF2-40B4-BE49-F238E27FC236}">
              <a16:creationId xmlns:a16="http://schemas.microsoft.com/office/drawing/2014/main" id="{1492CEE9-6D74-4FF6-B691-0F1DE3FD853C}"/>
            </a:ext>
          </a:extLst>
        </xdr:cNvPr>
        <xdr:cNvSpPr>
          <a:spLocks/>
        </xdr:cNvSpPr>
      </xdr:nvSpPr>
      <xdr:spPr bwMode="auto">
        <a:xfrm>
          <a:off x="12230884" y="37690425"/>
          <a:ext cx="1880684" cy="300878"/>
        </a:xfrm>
        <a:custGeom>
          <a:avLst/>
          <a:gdLst>
            <a:gd name="T0" fmla="*/ 0 w 231"/>
            <a:gd name="T1" fmla="*/ 2147483647 h 47"/>
            <a:gd name="T2" fmla="*/ 2147483647 w 231"/>
            <a:gd name="T3" fmla="*/ 2147483647 h 47"/>
            <a:gd name="T4" fmla="*/ 2147483647 w 231"/>
            <a:gd name="T5" fmla="*/ 0 h 47"/>
            <a:gd name="T6" fmla="*/ 0 60000 65536"/>
            <a:gd name="T7" fmla="*/ 0 60000 65536"/>
            <a:gd name="T8" fmla="*/ 0 60000 65536"/>
            <a:gd name="T9" fmla="*/ 0 w 231"/>
            <a:gd name="T10" fmla="*/ 0 h 47"/>
            <a:gd name="T11" fmla="*/ 231 w 231"/>
            <a:gd name="T12" fmla="*/ 47 h 47"/>
          </a:gdLst>
          <a:ahLst/>
          <a:cxnLst>
            <a:cxn ang="T6">
              <a:pos x="T0" y="T1"/>
            </a:cxn>
            <a:cxn ang="T7">
              <a:pos x="T2" y="T3"/>
            </a:cxn>
            <a:cxn ang="T8">
              <a:pos x="T4" y="T5"/>
            </a:cxn>
          </a:cxnLst>
          <a:rect l="T9" t="T10" r="T11" b="T12"/>
          <a:pathLst>
            <a:path w="231" h="47">
              <a:moveTo>
                <a:pt x="0" y="47"/>
              </a:moveTo>
              <a:lnTo>
                <a:pt x="231" y="47"/>
              </a:lnTo>
              <a:lnTo>
                <a:pt x="231" y="0"/>
              </a:lnTo>
            </a:path>
          </a:pathLst>
        </a:custGeom>
        <a:noFill/>
        <a:ln w="38100">
          <a:solidFill>
            <a:srgbClr val="0000FF"/>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259771</xdr:colOff>
      <xdr:row>288</xdr:row>
      <xdr:rowOff>51089</xdr:rowOff>
    </xdr:from>
    <xdr:to>
      <xdr:col>10</xdr:col>
      <xdr:colOff>1160318</xdr:colOff>
      <xdr:row>296</xdr:row>
      <xdr:rowOff>12989</xdr:rowOff>
    </xdr:to>
    <xdr:sp macro="" textlink="">
      <xdr:nvSpPr>
        <xdr:cNvPr id="6" name="AutoShape 36">
          <a:extLst>
            <a:ext uri="{FF2B5EF4-FFF2-40B4-BE49-F238E27FC236}">
              <a16:creationId xmlns:a16="http://schemas.microsoft.com/office/drawing/2014/main" id="{7CE7579D-7E61-44E3-9FC5-3739AB21A1E9}"/>
            </a:ext>
          </a:extLst>
        </xdr:cNvPr>
        <xdr:cNvSpPr>
          <a:spLocks noChangeArrowheads="1"/>
        </xdr:cNvSpPr>
      </xdr:nvSpPr>
      <xdr:spPr bwMode="auto">
        <a:xfrm>
          <a:off x="7790124" y="46300007"/>
          <a:ext cx="2562155" cy="1665194"/>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0" bIns="22860" anchor="ctr" upright="1"/>
        <a:lstStyle/>
        <a:p>
          <a:pPr algn="l" rtl="0">
            <a:lnSpc>
              <a:spcPts val="1700"/>
            </a:lnSpc>
            <a:defRPr sz="1000"/>
          </a:pPr>
          <a:r>
            <a:rPr lang="ja-JP" altLang="en-US" sz="1400" b="0" i="0" strike="noStrike">
              <a:solidFill>
                <a:srgbClr val="000000"/>
              </a:solidFill>
              <a:latin typeface="ＭＳ Ｐゴシック"/>
              <a:ea typeface="ＭＳ Ｐゴシック"/>
            </a:rPr>
            <a:t>　　　　　　　　　　　　</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入力欄の留意点</a:t>
          </a:r>
          <a:r>
            <a:rPr lang="en-US" altLang="ja-JP" sz="1400" b="0" i="0" strike="noStrike">
              <a:solidFill>
                <a:srgbClr val="000000"/>
              </a:solidFill>
              <a:latin typeface="ＭＳ Ｐゴシック"/>
              <a:ea typeface="ＭＳ Ｐゴシック"/>
            </a:rPr>
            <a:t>】</a:t>
          </a:r>
        </a:p>
        <a:p>
          <a:pPr algn="l" rtl="0">
            <a:lnSpc>
              <a:spcPts val="1700"/>
            </a:lnSpc>
            <a:defRPr sz="1000"/>
          </a:pPr>
          <a:endParaRPr lang="en-US" altLang="ja-JP" sz="1400" b="0" i="0" strike="noStrike">
            <a:solidFill>
              <a:srgbClr val="000000"/>
            </a:solidFill>
            <a:latin typeface="ＭＳ Ｐゴシック"/>
            <a:ea typeface="ＭＳ Ｐゴシック"/>
          </a:endParaRPr>
        </a:p>
        <a:p>
          <a:pPr algn="l" rtl="0">
            <a:lnSpc>
              <a:spcPts val="1700"/>
            </a:lnSpc>
            <a:defRPr sz="1000"/>
          </a:pPr>
          <a:r>
            <a:rPr lang="en-US" altLang="ja-JP" sz="1400" b="0" i="0" strike="noStrike">
              <a:solidFill>
                <a:srgbClr val="000000"/>
              </a:solidFill>
              <a:latin typeface="ＭＳ Ｐゴシック"/>
              <a:ea typeface="ＭＳ Ｐゴシック"/>
            </a:rPr>
            <a:t>①</a:t>
          </a:r>
          <a:r>
            <a:rPr lang="ja-JP" altLang="en-US" sz="1400" b="0" i="0" strike="noStrike">
              <a:solidFill>
                <a:srgbClr val="000000"/>
              </a:solidFill>
              <a:latin typeface="ＭＳ Ｐゴシック"/>
              <a:ea typeface="ＭＳ Ｐゴシック"/>
            </a:rPr>
            <a:t>前期欄には前期の決算書の数値を入力してください。</a:t>
          </a:r>
        </a:p>
        <a:p>
          <a:pPr algn="l" rtl="0">
            <a:lnSpc>
              <a:spcPts val="1700"/>
            </a:lnSpc>
            <a:defRPr sz="1000"/>
          </a:pPr>
          <a:r>
            <a:rPr lang="ja-JP" altLang="en-US" sz="1400" b="0" i="0" strike="noStrike">
              <a:solidFill>
                <a:srgbClr val="000000"/>
              </a:solidFill>
              <a:latin typeface="ＭＳ Ｐゴシック"/>
              <a:ea typeface="ＭＳ Ｐゴシック"/>
            </a:rPr>
            <a:t>②当期欄には最新の月次試算表の数値を入力してください。</a:t>
          </a:r>
        </a:p>
        <a:p>
          <a:pPr algn="l" rtl="0">
            <a:lnSpc>
              <a:spcPts val="1700"/>
            </a:lnSpc>
            <a:defRPr sz="1000"/>
          </a:pPr>
          <a:endParaRPr lang="ja-JP" altLang="en-US" sz="1400" b="0" i="0" strike="noStrike">
            <a:solidFill>
              <a:srgbClr val="000000"/>
            </a:solidFill>
            <a:latin typeface="ＭＳ Ｐゴシック"/>
            <a:ea typeface="ＭＳ Ｐゴシック"/>
          </a:endParaRPr>
        </a:p>
        <a:p>
          <a:pPr algn="l" rtl="0">
            <a:lnSpc>
              <a:spcPts val="1600"/>
            </a:lnSpc>
            <a:defRPr sz="1000"/>
          </a:pPr>
          <a:r>
            <a:rPr lang="ja-JP" altLang="en-US" sz="1400" b="0" i="0" strike="noStrike">
              <a:solidFill>
                <a:srgbClr val="000000"/>
              </a:solidFill>
              <a:latin typeface="ＭＳ Ｐゴシック"/>
              <a:ea typeface="ＭＳ Ｐゴシック"/>
            </a:rPr>
            <a:t>詳しい入力の仕方は、</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シート⑨</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をご参照ください。</a:t>
          </a:r>
        </a:p>
      </xdr:txBody>
    </xdr:sp>
    <xdr:clientData/>
  </xdr:twoCellAnchor>
  <xdr:twoCellAnchor>
    <xdr:from>
      <xdr:col>12</xdr:col>
      <xdr:colOff>3114675</xdr:colOff>
      <xdr:row>314</xdr:row>
      <xdr:rowOff>47625</xdr:rowOff>
    </xdr:from>
    <xdr:to>
      <xdr:col>14</xdr:col>
      <xdr:colOff>1123950</xdr:colOff>
      <xdr:row>315</xdr:row>
      <xdr:rowOff>133350</xdr:rowOff>
    </xdr:to>
    <xdr:sp macro="" textlink="">
      <xdr:nvSpPr>
        <xdr:cNvPr id="7" name="Freeform 7">
          <a:extLst>
            <a:ext uri="{FF2B5EF4-FFF2-40B4-BE49-F238E27FC236}">
              <a16:creationId xmlns:a16="http://schemas.microsoft.com/office/drawing/2014/main" id="{E5784F3B-7B49-4F82-A3DD-CB6D37898D09}"/>
            </a:ext>
          </a:extLst>
        </xdr:cNvPr>
        <xdr:cNvSpPr>
          <a:spLocks/>
        </xdr:cNvSpPr>
      </xdr:nvSpPr>
      <xdr:spPr bwMode="auto">
        <a:xfrm>
          <a:off x="12230884" y="51603649"/>
          <a:ext cx="1880684" cy="300877"/>
        </a:xfrm>
        <a:custGeom>
          <a:avLst/>
          <a:gdLst>
            <a:gd name="T0" fmla="*/ 0 w 231"/>
            <a:gd name="T1" fmla="*/ 2147483647 h 47"/>
            <a:gd name="T2" fmla="*/ 2147483647 w 231"/>
            <a:gd name="T3" fmla="*/ 2147483647 h 47"/>
            <a:gd name="T4" fmla="*/ 2147483647 w 231"/>
            <a:gd name="T5" fmla="*/ 0 h 47"/>
            <a:gd name="T6" fmla="*/ 0 60000 65536"/>
            <a:gd name="T7" fmla="*/ 0 60000 65536"/>
            <a:gd name="T8" fmla="*/ 0 60000 65536"/>
            <a:gd name="T9" fmla="*/ 0 w 231"/>
            <a:gd name="T10" fmla="*/ 0 h 47"/>
            <a:gd name="T11" fmla="*/ 231 w 231"/>
            <a:gd name="T12" fmla="*/ 47 h 47"/>
          </a:gdLst>
          <a:ahLst/>
          <a:cxnLst>
            <a:cxn ang="T6">
              <a:pos x="T0" y="T1"/>
            </a:cxn>
            <a:cxn ang="T7">
              <a:pos x="T2" y="T3"/>
            </a:cxn>
            <a:cxn ang="T8">
              <a:pos x="T4" y="T5"/>
            </a:cxn>
          </a:cxnLst>
          <a:rect l="T9" t="T10" r="T11" b="T12"/>
          <a:pathLst>
            <a:path w="231" h="47">
              <a:moveTo>
                <a:pt x="0" y="47"/>
              </a:moveTo>
              <a:lnTo>
                <a:pt x="231" y="47"/>
              </a:lnTo>
              <a:lnTo>
                <a:pt x="231" y="0"/>
              </a:lnTo>
            </a:path>
          </a:pathLst>
        </a:custGeom>
        <a:noFill/>
        <a:ln w="38100">
          <a:solidFill>
            <a:srgbClr val="0000FF"/>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42751-D044-4A46-ABE4-F566B683D1C7}">
  <sheetPr>
    <pageSetUpPr fitToPage="1"/>
  </sheetPr>
  <dimension ref="A1:P264"/>
  <sheetViews>
    <sheetView tabSelected="1" zoomScale="85" zoomScaleNormal="85" workbookViewId="0">
      <selection activeCell="C147" sqref="C147"/>
    </sheetView>
  </sheetViews>
  <sheetFormatPr defaultColWidth="13.6640625" defaultRowHeight="16.2"/>
  <cols>
    <col min="1" max="16384" width="13.6640625" style="1"/>
  </cols>
  <sheetData>
    <row r="1" spans="1:8">
      <c r="A1" s="1" t="s">
        <v>0</v>
      </c>
    </row>
    <row r="3" spans="1:8">
      <c r="A3" s="1" t="s">
        <v>1</v>
      </c>
      <c r="E3" s="1" t="s">
        <v>18</v>
      </c>
    </row>
    <row r="4" spans="1:8">
      <c r="E4" s="1" t="s">
        <v>19</v>
      </c>
      <c r="F4" s="1" t="s">
        <v>20</v>
      </c>
      <c r="G4" s="1" t="s">
        <v>25</v>
      </c>
      <c r="H4" s="1" t="s">
        <v>42</v>
      </c>
    </row>
    <row r="5" spans="1:8">
      <c r="B5" s="434" t="s">
        <v>2</v>
      </c>
      <c r="C5" s="3" t="s">
        <v>5</v>
      </c>
      <c r="D5" s="3"/>
      <c r="E5" s="3" t="s">
        <v>21</v>
      </c>
      <c r="F5" s="437" t="s">
        <v>22</v>
      </c>
      <c r="G5" s="438" t="s">
        <v>26</v>
      </c>
      <c r="H5" s="1" t="s">
        <v>44</v>
      </c>
    </row>
    <row r="6" spans="1:8">
      <c r="B6" s="435"/>
      <c r="C6" s="4" t="s">
        <v>6</v>
      </c>
      <c r="D6" s="4"/>
      <c r="E6" s="3" t="s">
        <v>23</v>
      </c>
      <c r="F6" s="437"/>
      <c r="G6" s="438"/>
      <c r="H6" s="5" t="s">
        <v>43</v>
      </c>
    </row>
    <row r="7" spans="1:8">
      <c r="B7" s="436"/>
      <c r="C7" s="3" t="s">
        <v>7</v>
      </c>
      <c r="D7" s="3"/>
      <c r="E7" s="3" t="s">
        <v>24</v>
      </c>
      <c r="F7" s="437"/>
      <c r="G7" s="438"/>
      <c r="H7" s="1" t="s">
        <v>45</v>
      </c>
    </row>
    <row r="8" spans="1:8">
      <c r="B8" s="434" t="s">
        <v>3</v>
      </c>
      <c r="C8" s="3" t="s">
        <v>8</v>
      </c>
      <c r="D8" s="3"/>
      <c r="E8" s="3" t="s">
        <v>27</v>
      </c>
      <c r="F8" s="437" t="s">
        <v>36</v>
      </c>
      <c r="G8" s="438"/>
      <c r="H8" s="1" t="s">
        <v>46</v>
      </c>
    </row>
    <row r="9" spans="1:8">
      <c r="B9" s="435"/>
      <c r="C9" s="3" t="s">
        <v>9</v>
      </c>
      <c r="D9" s="3"/>
      <c r="E9" s="3" t="s">
        <v>28</v>
      </c>
      <c r="F9" s="437"/>
      <c r="G9" s="438"/>
      <c r="H9" s="1" t="s">
        <v>47</v>
      </c>
    </row>
    <row r="10" spans="1:8">
      <c r="B10" s="435"/>
      <c r="C10" s="3" t="s">
        <v>10</v>
      </c>
      <c r="D10" s="3"/>
      <c r="E10" s="437" t="s">
        <v>29</v>
      </c>
      <c r="F10" s="3" t="s">
        <v>33</v>
      </c>
      <c r="G10" s="438"/>
      <c r="H10" s="1" t="s">
        <v>48</v>
      </c>
    </row>
    <row r="11" spans="1:8">
      <c r="B11" s="435"/>
      <c r="C11" s="3" t="s">
        <v>11</v>
      </c>
      <c r="D11" s="3"/>
      <c r="E11" s="437"/>
      <c r="F11" s="3" t="s">
        <v>35</v>
      </c>
      <c r="G11" s="438"/>
      <c r="H11" s="1" t="s">
        <v>49</v>
      </c>
    </row>
    <row r="12" spans="1:8">
      <c r="B12" s="435"/>
      <c r="C12" s="4" t="s">
        <v>12</v>
      </c>
      <c r="D12" s="4"/>
      <c r="E12" s="3" t="s">
        <v>30</v>
      </c>
      <c r="F12" s="3" t="s">
        <v>34</v>
      </c>
      <c r="G12" s="438"/>
      <c r="H12" s="5" t="s">
        <v>50</v>
      </c>
    </row>
    <row r="13" spans="1:8">
      <c r="B13" s="436"/>
      <c r="C13" s="3" t="s">
        <v>13</v>
      </c>
      <c r="D13" s="3"/>
      <c r="E13" s="3" t="s">
        <v>32</v>
      </c>
      <c r="F13" s="3" t="s">
        <v>33</v>
      </c>
      <c r="G13" s="438"/>
      <c r="H13" s="1" t="s">
        <v>51</v>
      </c>
    </row>
    <row r="14" spans="1:8">
      <c r="B14" s="434" t="s">
        <v>4</v>
      </c>
      <c r="C14" s="3" t="s">
        <v>14</v>
      </c>
      <c r="D14" s="3"/>
      <c r="E14" s="437" t="s">
        <v>37</v>
      </c>
      <c r="F14" s="3" t="s">
        <v>31</v>
      </c>
      <c r="G14" s="438" t="s">
        <v>41</v>
      </c>
      <c r="H14" s="1" t="s">
        <v>52</v>
      </c>
    </row>
    <row r="15" spans="1:8">
      <c r="B15" s="435"/>
      <c r="C15" s="3" t="s">
        <v>15</v>
      </c>
      <c r="D15" s="3"/>
      <c r="E15" s="437"/>
      <c r="F15" s="3" t="s">
        <v>38</v>
      </c>
      <c r="G15" s="438"/>
      <c r="H15" s="1" t="s">
        <v>53</v>
      </c>
    </row>
    <row r="16" spans="1:8">
      <c r="B16" s="435"/>
      <c r="C16" s="3" t="s">
        <v>16</v>
      </c>
      <c r="D16" s="3"/>
      <c r="E16" s="437"/>
      <c r="F16" s="3" t="s">
        <v>39</v>
      </c>
      <c r="G16" s="438"/>
      <c r="H16" s="1" t="s">
        <v>54</v>
      </c>
    </row>
    <row r="17" spans="1:15">
      <c r="B17" s="436"/>
      <c r="C17" s="4" t="s">
        <v>17</v>
      </c>
      <c r="D17" s="4"/>
      <c r="E17" s="437"/>
      <c r="F17" s="3" t="s">
        <v>40</v>
      </c>
      <c r="G17" s="438"/>
      <c r="H17" s="5" t="s">
        <v>55</v>
      </c>
    </row>
    <row r="19" spans="1:15">
      <c r="B19" s="6" t="s">
        <v>56</v>
      </c>
    </row>
    <row r="20" spans="1:15">
      <c r="B20" s="6" t="s">
        <v>57</v>
      </c>
    </row>
    <row r="22" spans="1:15">
      <c r="A22" s="1" t="s">
        <v>58</v>
      </c>
    </row>
    <row r="23" spans="1:15">
      <c r="B23" s="15" t="s">
        <v>88</v>
      </c>
    </row>
    <row r="24" spans="1:15">
      <c r="B24" s="16" t="s">
        <v>91</v>
      </c>
      <c r="I24" s="1" t="s">
        <v>78</v>
      </c>
      <c r="N24" s="1" t="s">
        <v>79</v>
      </c>
    </row>
    <row r="25" spans="1:15">
      <c r="B25" s="434" t="s">
        <v>2</v>
      </c>
      <c r="C25" s="3" t="s">
        <v>5</v>
      </c>
      <c r="D25" s="3"/>
      <c r="E25" s="3" t="s">
        <v>21</v>
      </c>
      <c r="F25" s="437" t="s">
        <v>22</v>
      </c>
      <c r="G25" s="14">
        <f>+O27/$O$25</f>
        <v>0.89583333333333337</v>
      </c>
      <c r="H25" s="1" t="s">
        <v>89</v>
      </c>
      <c r="I25" s="11" t="s">
        <v>27</v>
      </c>
      <c r="J25" s="11">
        <f>SUM(J26:J29)</f>
        <v>53300</v>
      </c>
      <c r="K25" s="11" t="s">
        <v>69</v>
      </c>
      <c r="L25" s="11">
        <f>+SUM(L26:L28)</f>
        <v>34500</v>
      </c>
      <c r="N25" s="1" t="s">
        <v>37</v>
      </c>
      <c r="O25" s="1">
        <v>240000</v>
      </c>
    </row>
    <row r="26" spans="1:15">
      <c r="B26" s="435"/>
      <c r="C26" s="4" t="s">
        <v>6</v>
      </c>
      <c r="D26" s="4"/>
      <c r="E26" s="3" t="s">
        <v>23</v>
      </c>
      <c r="F26" s="437"/>
      <c r="G26" s="14">
        <f>+O28/$O$25</f>
        <v>0.8125</v>
      </c>
      <c r="I26" s="3" t="s">
        <v>59</v>
      </c>
      <c r="J26" s="3">
        <v>50000</v>
      </c>
      <c r="K26" s="3" t="s">
        <v>70</v>
      </c>
      <c r="L26" s="3">
        <v>6500</v>
      </c>
      <c r="N26" s="2" t="s">
        <v>80</v>
      </c>
      <c r="O26" s="2">
        <v>25000</v>
      </c>
    </row>
    <row r="27" spans="1:15">
      <c r="B27" s="436"/>
      <c r="C27" s="3" t="s">
        <v>7</v>
      </c>
      <c r="D27" s="3"/>
      <c r="E27" s="3" t="s">
        <v>24</v>
      </c>
      <c r="F27" s="437"/>
      <c r="G27" s="14">
        <f>+O31/$O$25</f>
        <v>2.0833333333333332E-2</v>
      </c>
      <c r="I27" s="3" t="s">
        <v>60</v>
      </c>
      <c r="J27" s="3">
        <v>2500</v>
      </c>
      <c r="K27" s="3" t="s">
        <v>71</v>
      </c>
      <c r="L27" s="3">
        <v>25000</v>
      </c>
      <c r="N27" s="1" t="s">
        <v>81</v>
      </c>
      <c r="O27" s="1">
        <f>+O25-O26</f>
        <v>215000</v>
      </c>
    </row>
    <row r="28" spans="1:15">
      <c r="B28" s="434" t="s">
        <v>3</v>
      </c>
      <c r="C28" s="3" t="s">
        <v>8</v>
      </c>
      <c r="D28" s="3"/>
      <c r="E28" s="3" t="s">
        <v>27</v>
      </c>
      <c r="F28" s="437" t="s">
        <v>36</v>
      </c>
      <c r="G28" s="14">
        <f>+J25/L25</f>
        <v>1.5449275362318842</v>
      </c>
      <c r="I28" s="3" t="s">
        <v>61</v>
      </c>
      <c r="J28" s="3">
        <v>700</v>
      </c>
      <c r="K28" s="10" t="s">
        <v>62</v>
      </c>
      <c r="L28" s="10">
        <v>3000</v>
      </c>
      <c r="N28" s="2" t="s">
        <v>82</v>
      </c>
      <c r="O28" s="2">
        <v>195000</v>
      </c>
    </row>
    <row r="29" spans="1:15">
      <c r="B29" s="435"/>
      <c r="C29" s="3" t="s">
        <v>9</v>
      </c>
      <c r="D29" s="3"/>
      <c r="E29" s="3" t="s">
        <v>28</v>
      </c>
      <c r="F29" s="437"/>
      <c r="G29" s="14">
        <f>+SUM(J26:J27)/L25</f>
        <v>1.5217391304347827</v>
      </c>
      <c r="I29" s="10" t="s">
        <v>62</v>
      </c>
      <c r="J29" s="10">
        <v>100</v>
      </c>
      <c r="K29" s="9" t="s">
        <v>72</v>
      </c>
      <c r="L29" s="9">
        <f>+SUM(L30:L31)</f>
        <v>375000</v>
      </c>
      <c r="N29" s="1" t="s">
        <v>83</v>
      </c>
      <c r="O29" s="1">
        <f>+O27-O28</f>
        <v>20000</v>
      </c>
    </row>
    <row r="30" spans="1:15">
      <c r="B30" s="435"/>
      <c r="C30" s="3" t="s">
        <v>10</v>
      </c>
      <c r="D30" s="3"/>
      <c r="E30" s="437" t="s">
        <v>29</v>
      </c>
      <c r="F30" s="3" t="s">
        <v>33</v>
      </c>
      <c r="G30" s="14">
        <f>+J30/L35</f>
        <v>3.243073047858942</v>
      </c>
      <c r="I30" s="9" t="s">
        <v>29</v>
      </c>
      <c r="J30" s="9">
        <f>+J31+J35</f>
        <v>515000</v>
      </c>
      <c r="K30" s="3" t="s">
        <v>73</v>
      </c>
      <c r="L30" s="3">
        <v>350000</v>
      </c>
      <c r="N30" s="2" t="s">
        <v>84</v>
      </c>
      <c r="O30" s="2">
        <v>15000</v>
      </c>
    </row>
    <row r="31" spans="1:15">
      <c r="B31" s="435"/>
      <c r="C31" s="3" t="s">
        <v>11</v>
      </c>
      <c r="D31" s="3"/>
      <c r="E31" s="437"/>
      <c r="F31" s="3" t="s">
        <v>35</v>
      </c>
      <c r="G31" s="14">
        <f>+J30/SUM(L29,L35)</f>
        <v>0.9647808167853128</v>
      </c>
      <c r="I31" s="3" t="s">
        <v>63</v>
      </c>
      <c r="J31" s="3">
        <f>+SUM(J32:J34)</f>
        <v>510000</v>
      </c>
      <c r="K31" s="10" t="s">
        <v>62</v>
      </c>
      <c r="L31" s="10">
        <v>25000</v>
      </c>
      <c r="N31" s="1" t="s">
        <v>85</v>
      </c>
      <c r="O31" s="1">
        <f>+O29-O30</f>
        <v>5000</v>
      </c>
    </row>
    <row r="32" spans="1:15">
      <c r="B32" s="435"/>
      <c r="C32" s="4" t="s">
        <v>12</v>
      </c>
      <c r="D32" s="4"/>
      <c r="E32" s="3" t="s">
        <v>30</v>
      </c>
      <c r="F32" s="3" t="s">
        <v>34</v>
      </c>
      <c r="G32" s="14">
        <f>+L35/L36</f>
        <v>0.27942987858525425</v>
      </c>
      <c r="I32" s="3" t="s">
        <v>64</v>
      </c>
      <c r="J32" s="3">
        <v>130000</v>
      </c>
      <c r="K32" s="9" t="s">
        <v>74</v>
      </c>
      <c r="L32" s="9">
        <f>+L25+L29</f>
        <v>409500</v>
      </c>
      <c r="N32" s="1" t="s">
        <v>86</v>
      </c>
      <c r="O32" s="1">
        <v>1500</v>
      </c>
    </row>
    <row r="33" spans="1:15" ht="16.8" thickBot="1">
      <c r="B33" s="436"/>
      <c r="C33" s="3" t="s">
        <v>13</v>
      </c>
      <c r="D33" s="3"/>
      <c r="E33" s="3" t="s">
        <v>32</v>
      </c>
      <c r="F33" s="3" t="s">
        <v>33</v>
      </c>
      <c r="G33" s="14">
        <f>+L32/L35</f>
        <v>2.5787153652392947</v>
      </c>
      <c r="I33" s="3" t="s">
        <v>65</v>
      </c>
      <c r="J33" s="3">
        <v>15000</v>
      </c>
      <c r="K33" s="3" t="s">
        <v>75</v>
      </c>
      <c r="L33" s="3">
        <v>50000</v>
      </c>
      <c r="N33" s="12" t="s">
        <v>87</v>
      </c>
      <c r="O33" s="12">
        <f>+O31-O32</f>
        <v>3500</v>
      </c>
    </row>
    <row r="34" spans="1:15" ht="16.8" thickTop="1">
      <c r="B34" s="434" t="s">
        <v>4</v>
      </c>
      <c r="C34" s="3" t="s">
        <v>14</v>
      </c>
      <c r="D34" s="3"/>
      <c r="E34" s="437" t="s">
        <v>37</v>
      </c>
      <c r="F34" s="3" t="s">
        <v>31</v>
      </c>
      <c r="G34" s="13">
        <f>+O25/J36</f>
        <v>0.42231215907091324</v>
      </c>
      <c r="H34" s="1" t="s">
        <v>90</v>
      </c>
      <c r="I34" s="3" t="s">
        <v>66</v>
      </c>
      <c r="J34" s="3">
        <v>365000</v>
      </c>
      <c r="K34" s="3" t="s">
        <v>76</v>
      </c>
      <c r="L34" s="3">
        <v>108800</v>
      </c>
    </row>
    <row r="35" spans="1:15">
      <c r="B35" s="435"/>
      <c r="C35" s="3" t="s">
        <v>15</v>
      </c>
      <c r="D35" s="3"/>
      <c r="E35" s="437"/>
      <c r="F35" s="3" t="s">
        <v>38</v>
      </c>
      <c r="G35" s="13">
        <f>+O25/J27</f>
        <v>96</v>
      </c>
      <c r="I35" s="7" t="s">
        <v>67</v>
      </c>
      <c r="J35" s="7">
        <v>5000</v>
      </c>
      <c r="K35" s="7" t="s">
        <v>77</v>
      </c>
      <c r="L35" s="7">
        <f>+SUM(L33:L34)</f>
        <v>158800</v>
      </c>
    </row>
    <row r="36" spans="1:15" ht="16.8" thickBot="1">
      <c r="B36" s="435"/>
      <c r="C36" s="3" t="s">
        <v>16</v>
      </c>
      <c r="D36" s="3"/>
      <c r="E36" s="437"/>
      <c r="F36" s="3" t="s">
        <v>39</v>
      </c>
      <c r="G36" s="13">
        <f>+O25/J28</f>
        <v>342.85714285714283</v>
      </c>
      <c r="I36" s="8" t="s">
        <v>68</v>
      </c>
      <c r="J36" s="8">
        <f>+J30+J25</f>
        <v>568300</v>
      </c>
      <c r="K36" s="8" t="s">
        <v>68</v>
      </c>
      <c r="L36" s="8">
        <f>+L32+L35</f>
        <v>568300</v>
      </c>
    </row>
    <row r="37" spans="1:15" ht="16.8" thickTop="1">
      <c r="B37" s="436"/>
      <c r="C37" s="4" t="s">
        <v>17</v>
      </c>
      <c r="D37" s="4"/>
      <c r="E37" s="437"/>
      <c r="F37" s="3" t="s">
        <v>40</v>
      </c>
      <c r="G37" s="13">
        <f>+O25/J31</f>
        <v>0.47058823529411764</v>
      </c>
    </row>
    <row r="39" spans="1:15">
      <c r="A39" s="1" t="s">
        <v>92</v>
      </c>
    </row>
    <row r="40" spans="1:15">
      <c r="B40" s="1" t="s">
        <v>93</v>
      </c>
    </row>
    <row r="42" spans="1:15">
      <c r="B42" s="17" t="s">
        <v>94</v>
      </c>
      <c r="C42" s="20" t="s">
        <v>97</v>
      </c>
      <c r="E42" s="1" t="s">
        <v>100</v>
      </c>
      <c r="F42" s="1" t="s">
        <v>105</v>
      </c>
    </row>
    <row r="43" spans="1:15">
      <c r="B43" s="18"/>
      <c r="C43" s="22" t="s">
        <v>98</v>
      </c>
      <c r="E43" s="1" t="s">
        <v>101</v>
      </c>
      <c r="F43" s="1" t="s">
        <v>106</v>
      </c>
    </row>
    <row r="44" spans="1:15">
      <c r="B44" s="18" t="s">
        <v>95</v>
      </c>
      <c r="C44" s="21" t="s">
        <v>99</v>
      </c>
      <c r="E44" s="1" t="s">
        <v>102</v>
      </c>
      <c r="F44" s="1" t="s">
        <v>106</v>
      </c>
    </row>
    <row r="45" spans="1:15">
      <c r="B45" s="19" t="s">
        <v>96</v>
      </c>
      <c r="C45" s="22"/>
      <c r="E45" s="1" t="s">
        <v>103</v>
      </c>
      <c r="F45" s="1" t="s">
        <v>107</v>
      </c>
    </row>
    <row r="46" spans="1:15">
      <c r="E46" s="1" t="s">
        <v>104</v>
      </c>
      <c r="F46" s="1" t="s">
        <v>108</v>
      </c>
    </row>
    <row r="49" spans="1:16">
      <c r="A49" s="1" t="s">
        <v>109</v>
      </c>
    </row>
    <row r="50" spans="1:16">
      <c r="B50" s="15" t="s">
        <v>110</v>
      </c>
    </row>
    <row r="51" spans="1:16">
      <c r="B51" s="16" t="s">
        <v>111</v>
      </c>
    </row>
    <row r="53" spans="1:16">
      <c r="B53" s="16"/>
      <c r="D53" s="1" t="s">
        <v>113</v>
      </c>
      <c r="E53" s="1" t="s">
        <v>112</v>
      </c>
      <c r="H53" s="1" t="s">
        <v>112</v>
      </c>
      <c r="I53" s="1" t="s">
        <v>112</v>
      </c>
      <c r="K53" s="1" t="s">
        <v>112</v>
      </c>
      <c r="L53" s="1" t="s">
        <v>112</v>
      </c>
      <c r="O53" s="1" t="s">
        <v>113</v>
      </c>
      <c r="P53" s="1" t="s">
        <v>113</v>
      </c>
    </row>
    <row r="54" spans="1:16">
      <c r="B54" s="434" t="s">
        <v>2</v>
      </c>
      <c r="C54" s="3" t="s">
        <v>5</v>
      </c>
      <c r="D54" s="14">
        <f>+O56/O54</f>
        <v>0.69166666666666665</v>
      </c>
      <c r="E54" s="14">
        <f>+P56/P54</f>
        <v>0.64444444444444449</v>
      </c>
      <c r="F54" s="1" t="s">
        <v>89</v>
      </c>
      <c r="G54" s="11" t="s">
        <v>27</v>
      </c>
      <c r="H54" s="11">
        <f>SUM(H55:H58)</f>
        <v>94</v>
      </c>
      <c r="I54" s="11">
        <f>SUM(I55:I58)</f>
        <v>87</v>
      </c>
      <c r="J54" s="11" t="s">
        <v>69</v>
      </c>
      <c r="K54" s="11">
        <f>+SUM(K55:K57)</f>
        <v>57</v>
      </c>
      <c r="L54" s="11">
        <f>+SUM(L55:L57)</f>
        <v>56</v>
      </c>
      <c r="N54" s="1" t="s">
        <v>37</v>
      </c>
      <c r="O54" s="1">
        <v>240</v>
      </c>
      <c r="P54" s="1">
        <v>225</v>
      </c>
    </row>
    <row r="55" spans="1:16">
      <c r="B55" s="435"/>
      <c r="C55" s="4" t="s">
        <v>6</v>
      </c>
      <c r="D55" s="14">
        <f>+O58/O54</f>
        <v>5.4166666666666669E-2</v>
      </c>
      <c r="E55" s="14">
        <f>+P58/P54</f>
        <v>-2.2222222222222223E-2</v>
      </c>
      <c r="G55" s="3" t="s">
        <v>59</v>
      </c>
      <c r="H55" s="3">
        <v>57</v>
      </c>
      <c r="I55" s="3">
        <v>55</v>
      </c>
      <c r="J55" s="3" t="s">
        <v>70</v>
      </c>
      <c r="K55" s="3">
        <v>30</v>
      </c>
      <c r="L55" s="3">
        <v>32</v>
      </c>
      <c r="N55" s="2" t="s">
        <v>80</v>
      </c>
      <c r="O55" s="2">
        <v>74</v>
      </c>
      <c r="P55" s="2">
        <v>80</v>
      </c>
    </row>
    <row r="56" spans="1:16">
      <c r="B56" s="436"/>
      <c r="C56" s="3" t="s">
        <v>7</v>
      </c>
      <c r="D56" s="14">
        <f>+O61/O54</f>
        <v>3.7499999999999999E-2</v>
      </c>
      <c r="E56" s="14">
        <f>+P61/P54</f>
        <v>-0.04</v>
      </c>
      <c r="G56" s="3" t="s">
        <v>60</v>
      </c>
      <c r="H56" s="3">
        <v>3</v>
      </c>
      <c r="I56" s="3">
        <v>2</v>
      </c>
      <c r="J56" s="3" t="s">
        <v>71</v>
      </c>
      <c r="K56" s="3">
        <v>21</v>
      </c>
      <c r="L56" s="3">
        <v>21</v>
      </c>
      <c r="N56" s="1" t="s">
        <v>81</v>
      </c>
      <c r="O56" s="1">
        <f>+O54-O55</f>
        <v>166</v>
      </c>
      <c r="P56" s="1">
        <f>+P54-P55</f>
        <v>145</v>
      </c>
    </row>
    <row r="57" spans="1:16">
      <c r="B57" s="434" t="s">
        <v>3</v>
      </c>
      <c r="C57" s="3" t="s">
        <v>8</v>
      </c>
      <c r="D57" s="14">
        <f>+H54/K54</f>
        <v>1.6491228070175439</v>
      </c>
      <c r="E57" s="14">
        <f>+I54/L54</f>
        <v>1.5535714285714286</v>
      </c>
      <c r="G57" s="3" t="s">
        <v>61</v>
      </c>
      <c r="H57" s="3">
        <v>24</v>
      </c>
      <c r="I57" s="3">
        <v>22</v>
      </c>
      <c r="J57" s="10" t="s">
        <v>62</v>
      </c>
      <c r="K57" s="10">
        <v>6</v>
      </c>
      <c r="L57" s="10">
        <v>3</v>
      </c>
      <c r="N57" s="2" t="s">
        <v>82</v>
      </c>
      <c r="O57" s="2">
        <v>153</v>
      </c>
      <c r="P57" s="2">
        <v>150</v>
      </c>
    </row>
    <row r="58" spans="1:16">
      <c r="B58" s="435"/>
      <c r="C58" s="3" t="s">
        <v>9</v>
      </c>
      <c r="D58" s="14">
        <f>+SUM(H55:H56)/K54</f>
        <v>1.0526315789473684</v>
      </c>
      <c r="E58" s="14">
        <f>+SUM(I55:I56)/L54</f>
        <v>1.0178571428571428</v>
      </c>
      <c r="G58" s="10" t="s">
        <v>62</v>
      </c>
      <c r="H58" s="10">
        <v>10</v>
      </c>
      <c r="I58" s="10">
        <v>8</v>
      </c>
      <c r="J58" s="9" t="s">
        <v>72</v>
      </c>
      <c r="K58" s="9">
        <f>+SUM(K59:K60)</f>
        <v>132</v>
      </c>
      <c r="L58" s="9">
        <f>+SUM(L59:L60)</f>
        <v>130</v>
      </c>
      <c r="N58" s="1" t="s">
        <v>83</v>
      </c>
      <c r="O58" s="1">
        <f>+O56-O57</f>
        <v>13</v>
      </c>
      <c r="P58" s="1">
        <f>+P56-P57</f>
        <v>-5</v>
      </c>
    </row>
    <row r="59" spans="1:16">
      <c r="B59" s="435"/>
      <c r="C59" s="3" t="s">
        <v>10</v>
      </c>
      <c r="D59" s="14">
        <f>+H59/K65</f>
        <v>1.8636363636363635</v>
      </c>
      <c r="E59" s="14">
        <f>+I59/L65</f>
        <v>1.9801980198019802</v>
      </c>
      <c r="G59" s="9" t="s">
        <v>29</v>
      </c>
      <c r="H59" s="9">
        <f>+H60+H65</f>
        <v>205</v>
      </c>
      <c r="I59" s="9">
        <f>+I60+I65</f>
        <v>200</v>
      </c>
      <c r="J59" s="3" t="s">
        <v>73</v>
      </c>
      <c r="K59" s="3">
        <v>120</v>
      </c>
      <c r="L59" s="3">
        <v>120</v>
      </c>
      <c r="N59" s="1" t="s">
        <v>116</v>
      </c>
      <c r="O59" s="1">
        <v>0</v>
      </c>
      <c r="P59" s="1">
        <v>0</v>
      </c>
    </row>
    <row r="60" spans="1:16">
      <c r="B60" s="435"/>
      <c r="C60" s="3" t="s">
        <v>11</v>
      </c>
      <c r="D60" s="14">
        <f>+H59/SUM(K58,K65)</f>
        <v>0.84710743801652888</v>
      </c>
      <c r="E60" s="14">
        <f>+I59/SUM(L58,L65)</f>
        <v>0.86580086580086579</v>
      </c>
      <c r="G60" s="3" t="s">
        <v>63</v>
      </c>
      <c r="H60" s="3">
        <f>+SUM(H61:H63)</f>
        <v>200</v>
      </c>
      <c r="I60" s="3">
        <f>+SUM(I61:I63)</f>
        <v>195</v>
      </c>
      <c r="J60" s="10" t="s">
        <v>62</v>
      </c>
      <c r="K60" s="10">
        <v>12</v>
      </c>
      <c r="L60" s="10">
        <v>10</v>
      </c>
      <c r="N60" s="2" t="s">
        <v>84</v>
      </c>
      <c r="O60" s="2">
        <v>4</v>
      </c>
      <c r="P60" s="2">
        <v>4</v>
      </c>
    </row>
    <row r="61" spans="1:16">
      <c r="B61" s="435"/>
      <c r="C61" s="4" t="s">
        <v>12</v>
      </c>
      <c r="D61" s="14">
        <f>+K65/K66</f>
        <v>0.36789297658862874</v>
      </c>
      <c r="E61" s="14">
        <f>+L65/L66</f>
        <v>0.3519163763066202</v>
      </c>
      <c r="G61" s="3" t="s">
        <v>64</v>
      </c>
      <c r="H61" s="3">
        <v>80</v>
      </c>
      <c r="I61" s="3">
        <v>76</v>
      </c>
      <c r="J61" s="9" t="s">
        <v>74</v>
      </c>
      <c r="K61" s="9">
        <f>+K54+K58</f>
        <v>189</v>
      </c>
      <c r="L61" s="9">
        <f>+L54+L58</f>
        <v>186</v>
      </c>
      <c r="N61" s="1" t="s">
        <v>85</v>
      </c>
      <c r="O61" s="1">
        <f>+O58+O59-O60</f>
        <v>9</v>
      </c>
      <c r="P61" s="1">
        <f>+P58-P60</f>
        <v>-9</v>
      </c>
    </row>
    <row r="62" spans="1:16">
      <c r="B62" s="436"/>
      <c r="C62" s="3" t="s">
        <v>13</v>
      </c>
      <c r="D62" s="14">
        <f>+K61/K65</f>
        <v>1.7181818181818183</v>
      </c>
      <c r="E62" s="14">
        <f>+L61/L65</f>
        <v>1.8415841584158417</v>
      </c>
      <c r="G62" s="3" t="s">
        <v>66</v>
      </c>
      <c r="H62" s="3">
        <v>100</v>
      </c>
      <c r="I62" s="3">
        <v>100</v>
      </c>
      <c r="J62" s="3" t="s">
        <v>75</v>
      </c>
      <c r="K62" s="3">
        <v>30</v>
      </c>
      <c r="L62" s="3">
        <v>30</v>
      </c>
      <c r="N62" s="1" t="s">
        <v>117</v>
      </c>
      <c r="O62" s="1">
        <v>0</v>
      </c>
      <c r="P62" s="1">
        <v>0</v>
      </c>
    </row>
    <row r="63" spans="1:16">
      <c r="B63" s="434" t="s">
        <v>4</v>
      </c>
      <c r="C63" s="3" t="s">
        <v>14</v>
      </c>
      <c r="D63" s="13">
        <f>+O54/H66</f>
        <v>0.80267558528428096</v>
      </c>
      <c r="E63" s="13">
        <f>+P54/I66</f>
        <v>0.78397212543554007</v>
      </c>
      <c r="F63" s="1" t="s">
        <v>90</v>
      </c>
      <c r="G63" s="3" t="s">
        <v>114</v>
      </c>
      <c r="H63" s="3">
        <v>20</v>
      </c>
      <c r="I63" s="3">
        <v>19</v>
      </c>
      <c r="J63" s="3" t="s">
        <v>76</v>
      </c>
      <c r="K63" s="3">
        <v>15</v>
      </c>
      <c r="L63" s="3">
        <v>15</v>
      </c>
      <c r="N63" s="2" t="s">
        <v>118</v>
      </c>
      <c r="O63" s="2">
        <v>0</v>
      </c>
      <c r="P63" s="2">
        <v>0</v>
      </c>
    </row>
    <row r="64" spans="1:16">
      <c r="B64" s="435"/>
      <c r="C64" s="3" t="s">
        <v>15</v>
      </c>
      <c r="D64" s="13">
        <f>+O54/H56</f>
        <v>80</v>
      </c>
      <c r="E64" s="13">
        <f>+P54/I56</f>
        <v>112.5</v>
      </c>
      <c r="G64" s="7"/>
      <c r="H64" s="7"/>
      <c r="I64" s="7"/>
      <c r="J64" s="7" t="s">
        <v>115</v>
      </c>
      <c r="K64" s="7">
        <v>65</v>
      </c>
      <c r="L64" s="7">
        <v>56</v>
      </c>
      <c r="N64" s="1" t="s">
        <v>119</v>
      </c>
      <c r="O64" s="1">
        <f>+O61+O62-O63</f>
        <v>9</v>
      </c>
      <c r="P64" s="1">
        <f>+P61+P62-P63</f>
        <v>-9</v>
      </c>
    </row>
    <row r="65" spans="1:16">
      <c r="B65" s="435"/>
      <c r="C65" s="3" t="s">
        <v>16</v>
      </c>
      <c r="D65" s="13">
        <f>+O54/H57</f>
        <v>10</v>
      </c>
      <c r="E65" s="13">
        <f>+P54/I57</f>
        <v>10.227272727272727</v>
      </c>
      <c r="G65" s="7" t="s">
        <v>67</v>
      </c>
      <c r="H65" s="7">
        <v>5</v>
      </c>
      <c r="I65" s="7">
        <v>5</v>
      </c>
      <c r="J65" s="7" t="s">
        <v>77</v>
      </c>
      <c r="K65" s="7">
        <f>+SUM(K62:K64)</f>
        <v>110</v>
      </c>
      <c r="L65" s="7">
        <f>+SUM(L62:L64)</f>
        <v>101</v>
      </c>
      <c r="N65" s="1" t="s">
        <v>86</v>
      </c>
      <c r="O65" s="1">
        <v>3</v>
      </c>
      <c r="P65" s="1">
        <v>0</v>
      </c>
    </row>
    <row r="66" spans="1:16" ht="16.8" thickBot="1">
      <c r="B66" s="436"/>
      <c r="C66" s="4" t="s">
        <v>17</v>
      </c>
      <c r="D66" s="13">
        <f>+O54/H60</f>
        <v>1.2</v>
      </c>
      <c r="E66" s="13">
        <f>+P54/I60</f>
        <v>1.1538461538461537</v>
      </c>
      <c r="G66" s="8" t="s">
        <v>68</v>
      </c>
      <c r="H66" s="8">
        <f>+H59+H54</f>
        <v>299</v>
      </c>
      <c r="I66" s="8">
        <f>+I59+I54</f>
        <v>287</v>
      </c>
      <c r="J66" s="8" t="s">
        <v>68</v>
      </c>
      <c r="K66" s="8">
        <f>+K61+K65</f>
        <v>299</v>
      </c>
      <c r="L66" s="8">
        <f>+L61+L65</f>
        <v>287</v>
      </c>
      <c r="N66" s="12" t="s">
        <v>87</v>
      </c>
      <c r="O66" s="12">
        <f>+O61-O65</f>
        <v>6</v>
      </c>
      <c r="P66" s="12">
        <f>+P61-P65</f>
        <v>-9</v>
      </c>
    </row>
    <row r="67" spans="1:16" ht="16.8" thickTop="1"/>
    <row r="68" spans="1:16">
      <c r="B68" s="1" t="s">
        <v>120</v>
      </c>
    </row>
    <row r="69" spans="1:16">
      <c r="B69" s="1" t="s">
        <v>121</v>
      </c>
      <c r="C69" s="1" t="s">
        <v>122</v>
      </c>
      <c r="D69" s="1" t="s">
        <v>134</v>
      </c>
    </row>
    <row r="70" spans="1:16">
      <c r="C70" s="1" t="s">
        <v>123</v>
      </c>
      <c r="D70" s="1" t="s">
        <v>135</v>
      </c>
      <c r="E70" s="1" t="s">
        <v>136</v>
      </c>
    </row>
    <row r="71" spans="1:16">
      <c r="C71" s="1" t="s">
        <v>124</v>
      </c>
      <c r="D71" s="1" t="s">
        <v>140</v>
      </c>
    </row>
    <row r="72" spans="1:16">
      <c r="B72" s="1" t="s">
        <v>125</v>
      </c>
      <c r="C72" s="1" t="s">
        <v>137</v>
      </c>
    </row>
    <row r="73" spans="1:16">
      <c r="B73" s="1" t="s">
        <v>126</v>
      </c>
      <c r="C73" s="1" t="s">
        <v>127</v>
      </c>
      <c r="D73" s="1" t="s">
        <v>99</v>
      </c>
    </row>
    <row r="74" spans="1:16">
      <c r="B74" s="1" t="s">
        <v>130</v>
      </c>
      <c r="C74" s="1" t="s">
        <v>128</v>
      </c>
      <c r="D74" s="1" t="s">
        <v>140</v>
      </c>
    </row>
    <row r="75" spans="1:16">
      <c r="B75" s="1" t="s">
        <v>131</v>
      </c>
      <c r="C75" s="1" t="s">
        <v>129</v>
      </c>
      <c r="D75" s="1" t="s">
        <v>138</v>
      </c>
    </row>
    <row r="76" spans="1:16">
      <c r="C76" s="1" t="s">
        <v>132</v>
      </c>
      <c r="D76" s="1" t="s">
        <v>139</v>
      </c>
    </row>
    <row r="77" spans="1:16">
      <c r="C77" s="1" t="s">
        <v>133</v>
      </c>
      <c r="D77" s="1" t="s">
        <v>103</v>
      </c>
    </row>
    <row r="80" spans="1:16">
      <c r="A80" s="1" t="s">
        <v>142</v>
      </c>
    </row>
    <row r="81" spans="1:16">
      <c r="B81" s="1" t="s">
        <v>141</v>
      </c>
    </row>
    <row r="83" spans="1:16">
      <c r="A83" s="1" t="s">
        <v>157</v>
      </c>
      <c r="B83" s="16"/>
      <c r="D83" s="1" t="s">
        <v>153</v>
      </c>
      <c r="E83" s="1" t="s">
        <v>154</v>
      </c>
      <c r="H83" s="1" t="str">
        <f>+D83</f>
        <v>D社</v>
      </c>
      <c r="I83" s="1" t="str">
        <f>+E83</f>
        <v>同業他社</v>
      </c>
      <c r="K83" s="1" t="str">
        <f>+D83</f>
        <v>D社</v>
      </c>
      <c r="L83" s="1" t="str">
        <f>+E83</f>
        <v>同業他社</v>
      </c>
      <c r="O83" s="1" t="str">
        <f>+D83</f>
        <v>D社</v>
      </c>
      <c r="P83" s="1" t="str">
        <f>+E83</f>
        <v>同業他社</v>
      </c>
    </row>
    <row r="84" spans="1:16">
      <c r="B84" s="434" t="s">
        <v>2</v>
      </c>
      <c r="C84" s="3" t="s">
        <v>5</v>
      </c>
      <c r="D84" s="14">
        <f>+O86/O84</f>
        <v>0.37864077669902912</v>
      </c>
      <c r="E84" s="14">
        <f>+P86/P84</f>
        <v>0.38053613053613056</v>
      </c>
      <c r="F84" s="1" t="s">
        <v>89</v>
      </c>
      <c r="G84" s="11" t="s">
        <v>27</v>
      </c>
      <c r="H84" s="11">
        <f>SUM(H85:H88)</f>
        <v>535</v>
      </c>
      <c r="I84" s="11">
        <f>SUM(I85:I88)</f>
        <v>617</v>
      </c>
      <c r="J84" s="11" t="s">
        <v>69</v>
      </c>
      <c r="K84" s="11">
        <f>+SUM(K85:K87)</f>
        <v>377</v>
      </c>
      <c r="L84" s="11">
        <f>+SUM(L85:L87)</f>
        <v>460</v>
      </c>
      <c r="N84" s="1" t="s">
        <v>37</v>
      </c>
      <c r="O84" s="1">
        <v>1545</v>
      </c>
      <c r="P84" s="1">
        <v>1716</v>
      </c>
    </row>
    <row r="85" spans="1:16">
      <c r="A85" s="1" t="s">
        <v>155</v>
      </c>
      <c r="B85" s="435"/>
      <c r="C85" s="4" t="s">
        <v>6</v>
      </c>
      <c r="D85" s="14">
        <f>+O88/O84</f>
        <v>1.8770226537216828E-2</v>
      </c>
      <c r="E85" s="14">
        <f>+P88/P84</f>
        <v>4.8368298368298368E-2</v>
      </c>
      <c r="G85" s="3" t="s">
        <v>59</v>
      </c>
      <c r="H85" s="3">
        <v>220</v>
      </c>
      <c r="I85" s="3">
        <v>257</v>
      </c>
      <c r="J85" s="3" t="s">
        <v>70</v>
      </c>
      <c r="K85" s="3">
        <v>342</v>
      </c>
      <c r="L85" s="3">
        <v>380</v>
      </c>
      <c r="N85" s="2" t="s">
        <v>80</v>
      </c>
      <c r="O85" s="2">
        <v>960</v>
      </c>
      <c r="P85" s="2">
        <v>1063</v>
      </c>
    </row>
    <row r="86" spans="1:16">
      <c r="B86" s="436"/>
      <c r="C86" s="3" t="s">
        <v>7</v>
      </c>
      <c r="D86" s="14">
        <f>+O91/O84</f>
        <v>1.8122977346278317E-2</v>
      </c>
      <c r="E86" s="14">
        <f>+P91/P84</f>
        <v>4.72027972027972E-2</v>
      </c>
      <c r="G86" s="3" t="s">
        <v>60</v>
      </c>
      <c r="H86" s="3">
        <v>20</v>
      </c>
      <c r="I86" s="3">
        <v>25</v>
      </c>
      <c r="J86" s="3" t="s">
        <v>71</v>
      </c>
      <c r="K86" s="3">
        <v>10</v>
      </c>
      <c r="L86" s="3">
        <v>50</v>
      </c>
      <c r="N86" s="1" t="s">
        <v>81</v>
      </c>
      <c r="O86" s="1">
        <f>+O84-O85</f>
        <v>585</v>
      </c>
      <c r="P86" s="1">
        <f t="shared" ref="P86" si="0">+P84-P85</f>
        <v>653</v>
      </c>
    </row>
    <row r="87" spans="1:16">
      <c r="B87" s="434" t="s">
        <v>3</v>
      </c>
      <c r="C87" s="3" t="s">
        <v>8</v>
      </c>
      <c r="D87" s="14">
        <f>+H84/K84</f>
        <v>1.4190981432360743</v>
      </c>
      <c r="E87" s="14">
        <f>+I84/L84</f>
        <v>1.3413043478260869</v>
      </c>
      <c r="G87" s="3" t="s">
        <v>61</v>
      </c>
      <c r="H87" s="3">
        <v>250</v>
      </c>
      <c r="I87" s="3">
        <v>285</v>
      </c>
      <c r="J87" s="10" t="s">
        <v>62</v>
      </c>
      <c r="K87" s="10">
        <v>25</v>
      </c>
      <c r="L87" s="10">
        <v>30</v>
      </c>
      <c r="N87" s="2" t="s">
        <v>82</v>
      </c>
      <c r="O87" s="2">
        <v>556</v>
      </c>
      <c r="P87" s="2">
        <v>570</v>
      </c>
    </row>
    <row r="88" spans="1:16">
      <c r="B88" s="435"/>
      <c r="C88" s="3" t="s">
        <v>9</v>
      </c>
      <c r="D88" s="14">
        <f>+SUM(H85:H86)/K84</f>
        <v>0.63660477453580899</v>
      </c>
      <c r="E88" s="14">
        <f>+SUM(I85:I86)/L84</f>
        <v>0.61304347826086958</v>
      </c>
      <c r="G88" s="10" t="s">
        <v>62</v>
      </c>
      <c r="H88" s="10">
        <v>45</v>
      </c>
      <c r="I88" s="10">
        <v>50</v>
      </c>
      <c r="J88" s="9" t="s">
        <v>72</v>
      </c>
      <c r="K88" s="9">
        <f>+SUM(K89:K93)</f>
        <v>128</v>
      </c>
      <c r="L88" s="9">
        <f>+SUM(L89:L93)</f>
        <v>199</v>
      </c>
      <c r="N88" s="1" t="s">
        <v>83</v>
      </c>
      <c r="O88" s="1">
        <f>+O86-O87</f>
        <v>29</v>
      </c>
      <c r="P88" s="1">
        <f t="shared" ref="P88" si="1">+P86-P87</f>
        <v>83</v>
      </c>
    </row>
    <row r="89" spans="1:16">
      <c r="B89" s="435"/>
      <c r="C89" s="3" t="s">
        <v>10</v>
      </c>
      <c r="D89" s="14">
        <f>+H89/K98</f>
        <v>0.9383983572895277</v>
      </c>
      <c r="E89" s="14">
        <f>+I89/L98</f>
        <v>1.0979020979020979</v>
      </c>
      <c r="G89" s="9" t="s">
        <v>29</v>
      </c>
      <c r="H89" s="9">
        <f>+H90+H96</f>
        <v>457</v>
      </c>
      <c r="I89" s="9">
        <f>+I90+I96</f>
        <v>471</v>
      </c>
      <c r="J89" s="3" t="s">
        <v>73</v>
      </c>
      <c r="K89" s="3">
        <v>60</v>
      </c>
      <c r="L89" s="3">
        <v>120</v>
      </c>
      <c r="N89" s="1" t="s">
        <v>116</v>
      </c>
      <c r="O89" s="1">
        <v>1</v>
      </c>
      <c r="P89" s="1">
        <v>3</v>
      </c>
    </row>
    <row r="90" spans="1:16">
      <c r="B90" s="435"/>
      <c r="C90" s="3" t="s">
        <v>11</v>
      </c>
      <c r="D90" s="14">
        <f>+H89/SUM(K88,K98)</f>
        <v>0.7430894308943089</v>
      </c>
      <c r="E90" s="14">
        <f>+I89/SUM(L88,L98)</f>
        <v>0.75</v>
      </c>
      <c r="G90" s="3" t="s">
        <v>63</v>
      </c>
      <c r="H90" s="3">
        <f>+SUM(H91:H95)</f>
        <v>357</v>
      </c>
      <c r="I90" s="3">
        <f>+SUM(I91:I95)</f>
        <v>365</v>
      </c>
      <c r="J90" s="7" t="s">
        <v>150</v>
      </c>
      <c r="K90" s="7">
        <v>0</v>
      </c>
      <c r="L90" s="7">
        <v>15</v>
      </c>
      <c r="N90" s="2" t="s">
        <v>84</v>
      </c>
      <c r="O90" s="2">
        <v>2</v>
      </c>
      <c r="P90" s="2">
        <v>5</v>
      </c>
    </row>
    <row r="91" spans="1:16">
      <c r="A91" s="1" t="s">
        <v>156</v>
      </c>
      <c r="B91" s="435"/>
      <c r="C91" s="4" t="s">
        <v>12</v>
      </c>
      <c r="D91" s="14">
        <f>+K98/K99</f>
        <v>0.49092741935483869</v>
      </c>
      <c r="E91" s="14">
        <f>+L98/L99</f>
        <v>0.39430147058823528</v>
      </c>
      <c r="G91" s="3" t="s">
        <v>64</v>
      </c>
      <c r="H91" s="3">
        <v>86</v>
      </c>
      <c r="I91" s="3">
        <v>99</v>
      </c>
      <c r="J91" s="7" t="s">
        <v>151</v>
      </c>
      <c r="K91" s="7">
        <v>8</v>
      </c>
      <c r="L91" s="7">
        <v>9</v>
      </c>
      <c r="N91" s="1" t="s">
        <v>85</v>
      </c>
      <c r="O91" s="1">
        <f>+O88+O89-O90</f>
        <v>28</v>
      </c>
      <c r="P91" s="1">
        <f t="shared" ref="P91" si="2">+P88+P89-P90</f>
        <v>81</v>
      </c>
    </row>
    <row r="92" spans="1:16">
      <c r="B92" s="436"/>
      <c r="C92" s="3" t="s">
        <v>13</v>
      </c>
      <c r="D92" s="14">
        <f>+K94/K98</f>
        <v>1.0369609856262834</v>
      </c>
      <c r="E92" s="14">
        <f>+L94/L98</f>
        <v>1.5361305361305362</v>
      </c>
      <c r="G92" s="3" t="s">
        <v>143</v>
      </c>
      <c r="H92" s="3">
        <v>120</v>
      </c>
      <c r="I92" s="3">
        <v>115</v>
      </c>
      <c r="J92" s="7" t="s">
        <v>152</v>
      </c>
      <c r="K92" s="7">
        <v>60</v>
      </c>
      <c r="L92" s="7">
        <v>55</v>
      </c>
      <c r="N92" s="1" t="s">
        <v>117</v>
      </c>
      <c r="O92" s="1">
        <v>0</v>
      </c>
      <c r="P92" s="1">
        <v>0</v>
      </c>
    </row>
    <row r="93" spans="1:16">
      <c r="B93" s="434" t="s">
        <v>4</v>
      </c>
      <c r="C93" s="3" t="s">
        <v>14</v>
      </c>
      <c r="D93" s="13">
        <f>+O84/H99</f>
        <v>1.5574596774193548</v>
      </c>
      <c r="E93" s="13">
        <f>+P84/I99</f>
        <v>1.5772058823529411</v>
      </c>
      <c r="F93" s="1" t="s">
        <v>90</v>
      </c>
      <c r="G93" s="3" t="s">
        <v>144</v>
      </c>
      <c r="H93" s="3">
        <v>13</v>
      </c>
      <c r="I93" s="3">
        <v>15</v>
      </c>
      <c r="J93" s="10"/>
      <c r="K93" s="10"/>
      <c r="L93" s="10"/>
      <c r="N93" s="2" t="s">
        <v>118</v>
      </c>
      <c r="O93" s="2">
        <v>0</v>
      </c>
      <c r="P93" s="2">
        <v>6</v>
      </c>
    </row>
    <row r="94" spans="1:16">
      <c r="B94" s="435"/>
      <c r="C94" s="3" t="s">
        <v>15</v>
      </c>
      <c r="D94" s="13">
        <f>+O84/H86</f>
        <v>77.25</v>
      </c>
      <c r="E94" s="13">
        <f>+P84/I86</f>
        <v>68.64</v>
      </c>
      <c r="G94" s="7" t="s">
        <v>145</v>
      </c>
      <c r="H94" s="7">
        <v>135</v>
      </c>
      <c r="I94" s="7">
        <v>130</v>
      </c>
      <c r="J94" s="9" t="s">
        <v>74</v>
      </c>
      <c r="K94" s="9">
        <f>+K84+K88</f>
        <v>505</v>
      </c>
      <c r="L94" s="9">
        <f>+L84+L88</f>
        <v>659</v>
      </c>
      <c r="N94" s="1" t="s">
        <v>119</v>
      </c>
      <c r="O94" s="1">
        <f>+O91+O92-O93</f>
        <v>28</v>
      </c>
      <c r="P94" s="1">
        <f t="shared" ref="P94" si="3">+P91+P92-P93</f>
        <v>75</v>
      </c>
    </row>
    <row r="95" spans="1:16">
      <c r="B95" s="435"/>
      <c r="C95" s="3" t="s">
        <v>16</v>
      </c>
      <c r="D95" s="13">
        <f>+O84/H87</f>
        <v>6.18</v>
      </c>
      <c r="E95" s="13">
        <f>+P84/I87</f>
        <v>6.0210526315789474</v>
      </c>
      <c r="G95" s="7" t="s">
        <v>146</v>
      </c>
      <c r="H95" s="7">
        <v>3</v>
      </c>
      <c r="I95" s="7">
        <v>6</v>
      </c>
      <c r="J95" s="3" t="s">
        <v>75</v>
      </c>
      <c r="K95" s="3">
        <v>30</v>
      </c>
      <c r="L95" s="3">
        <v>40</v>
      </c>
      <c r="N95" s="1" t="s">
        <v>86</v>
      </c>
      <c r="O95" s="1">
        <v>8</v>
      </c>
      <c r="P95" s="1">
        <v>22</v>
      </c>
    </row>
    <row r="96" spans="1:16" ht="16.8" thickBot="1">
      <c r="A96" s="1" t="s">
        <v>155</v>
      </c>
      <c r="B96" s="436"/>
      <c r="C96" s="4" t="s">
        <v>17</v>
      </c>
      <c r="D96" s="13">
        <f>+O84/H90</f>
        <v>4.3277310924369745</v>
      </c>
      <c r="E96" s="13">
        <f>+P84/I90</f>
        <v>4.7013698630136984</v>
      </c>
      <c r="G96" s="7" t="s">
        <v>147</v>
      </c>
      <c r="H96" s="7">
        <f>+SUM(H97:H98)</f>
        <v>100</v>
      </c>
      <c r="I96" s="7">
        <f>+SUM(I97:I98)</f>
        <v>106</v>
      </c>
      <c r="J96" s="3" t="s">
        <v>76</v>
      </c>
      <c r="K96" s="3">
        <v>30</v>
      </c>
      <c r="L96" s="3">
        <v>39</v>
      </c>
      <c r="N96" s="12" t="s">
        <v>87</v>
      </c>
      <c r="O96" s="12">
        <f>+O94-O95</f>
        <v>20</v>
      </c>
      <c r="P96" s="12">
        <f t="shared" ref="P96" si="4">+P94-P95</f>
        <v>53</v>
      </c>
    </row>
    <row r="97" spans="1:16" ht="16.8" thickTop="1">
      <c r="G97" s="7" t="s">
        <v>148</v>
      </c>
      <c r="H97" s="7">
        <v>55</v>
      </c>
      <c r="I97" s="7">
        <v>51</v>
      </c>
      <c r="J97" s="7" t="s">
        <v>115</v>
      </c>
      <c r="K97" s="7">
        <v>427</v>
      </c>
      <c r="L97" s="7">
        <v>350</v>
      </c>
    </row>
    <row r="98" spans="1:16">
      <c r="G98" s="7" t="s">
        <v>149</v>
      </c>
      <c r="H98" s="7">
        <v>45</v>
      </c>
      <c r="I98" s="7">
        <v>55</v>
      </c>
      <c r="J98" s="7" t="s">
        <v>77</v>
      </c>
      <c r="K98" s="7">
        <f>+SUM(K95:K97)</f>
        <v>487</v>
      </c>
      <c r="L98" s="7">
        <f>+SUM(L95:L97)</f>
        <v>429</v>
      </c>
    </row>
    <row r="99" spans="1:16" ht="16.8" thickBot="1">
      <c r="G99" s="8" t="s">
        <v>68</v>
      </c>
      <c r="H99" s="8">
        <f>+H89+H84</f>
        <v>992</v>
      </c>
      <c r="I99" s="8">
        <f>+I89+I84</f>
        <v>1088</v>
      </c>
      <c r="J99" s="8" t="s">
        <v>68</v>
      </c>
      <c r="K99" s="8">
        <f>+K94+K98</f>
        <v>992</v>
      </c>
      <c r="L99" s="8">
        <f>+L94+L98</f>
        <v>1088</v>
      </c>
    </row>
    <row r="100" spans="1:16" ht="16.8" thickTop="1">
      <c r="A100" s="1" t="s">
        <v>158</v>
      </c>
      <c r="B100" s="1" t="s">
        <v>159</v>
      </c>
    </row>
    <row r="103" spans="1:16">
      <c r="A103" s="1" t="s">
        <v>160</v>
      </c>
    </row>
    <row r="104" spans="1:16">
      <c r="B104" s="1" t="s">
        <v>141</v>
      </c>
    </row>
    <row r="106" spans="1:16">
      <c r="A106" s="1" t="s">
        <v>157</v>
      </c>
      <c r="B106" s="16"/>
      <c r="D106" s="1" t="s">
        <v>113</v>
      </c>
      <c r="E106" s="1" t="s">
        <v>112</v>
      </c>
      <c r="H106" s="1" t="str">
        <f>+D106</f>
        <v>前期</v>
      </c>
      <c r="I106" s="1" t="str">
        <f>+E106</f>
        <v>当期</v>
      </c>
      <c r="K106" s="1" t="str">
        <f>+D106</f>
        <v>前期</v>
      </c>
      <c r="L106" s="1" t="str">
        <f>+E106</f>
        <v>当期</v>
      </c>
      <c r="O106" s="1" t="str">
        <f>+D106</f>
        <v>前期</v>
      </c>
      <c r="P106" s="1" t="str">
        <f>+E106</f>
        <v>当期</v>
      </c>
    </row>
    <row r="107" spans="1:16">
      <c r="B107" s="434" t="s">
        <v>2</v>
      </c>
      <c r="C107" s="3" t="s">
        <v>5</v>
      </c>
      <c r="D107" s="14">
        <f>+O109/O107</f>
        <v>0.69518072289156629</v>
      </c>
      <c r="E107" s="14">
        <f>+P109/P107</f>
        <v>0.7276785714285714</v>
      </c>
      <c r="F107" s="1" t="s">
        <v>89</v>
      </c>
      <c r="G107" s="11" t="s">
        <v>27</v>
      </c>
      <c r="H107" s="11">
        <f>SUM(H108:H111)</f>
        <v>19560</v>
      </c>
      <c r="I107" s="11">
        <f>SUM(I108:I111)</f>
        <v>68300</v>
      </c>
      <c r="J107" s="11" t="s">
        <v>69</v>
      </c>
      <c r="K107" s="11">
        <f>+SUM(K108:K111)</f>
        <v>19300</v>
      </c>
      <c r="L107" s="11">
        <f>+SUM(L108:L111)</f>
        <v>67000</v>
      </c>
      <c r="N107" s="1" t="s">
        <v>37</v>
      </c>
      <c r="O107" s="1">
        <v>124500</v>
      </c>
      <c r="P107" s="1">
        <v>112000</v>
      </c>
    </row>
    <row r="108" spans="1:16">
      <c r="B108" s="435"/>
      <c r="C108" s="4" t="s">
        <v>6</v>
      </c>
      <c r="D108" s="14">
        <f>+O111/O107</f>
        <v>0.11686746987951807</v>
      </c>
      <c r="E108" s="14">
        <f>+P111/P107</f>
        <v>0.11964285714285715</v>
      </c>
      <c r="G108" s="3" t="s">
        <v>59</v>
      </c>
      <c r="H108" s="3">
        <v>17760</v>
      </c>
      <c r="I108" s="3">
        <v>66600</v>
      </c>
      <c r="J108" s="3" t="s">
        <v>70</v>
      </c>
      <c r="K108" s="3">
        <v>1500</v>
      </c>
      <c r="L108" s="3">
        <v>1400</v>
      </c>
      <c r="N108" s="2" t="s">
        <v>80</v>
      </c>
      <c r="O108" s="2">
        <v>37950</v>
      </c>
      <c r="P108" s="2">
        <v>30500</v>
      </c>
    </row>
    <row r="109" spans="1:16">
      <c r="A109" s="1" t="s">
        <v>155</v>
      </c>
      <c r="B109" s="436"/>
      <c r="C109" s="3" t="s">
        <v>7</v>
      </c>
      <c r="D109" s="14">
        <f>+O114/O107</f>
        <v>7.3518072289156633E-2</v>
      </c>
      <c r="E109" s="14">
        <f>+P114/P107</f>
        <v>3.4866071428571427E-2</v>
      </c>
      <c r="G109" s="3" t="s">
        <v>61</v>
      </c>
      <c r="H109" s="3">
        <v>1300</v>
      </c>
      <c r="I109" s="3">
        <v>1200</v>
      </c>
      <c r="J109" s="3" t="s">
        <v>71</v>
      </c>
      <c r="K109" s="3"/>
      <c r="L109" s="3">
        <v>50000</v>
      </c>
      <c r="N109" s="1" t="s">
        <v>81</v>
      </c>
      <c r="O109" s="1">
        <f>+O107-O108</f>
        <v>86550</v>
      </c>
      <c r="P109" s="1">
        <f t="shared" ref="P109" si="5">+P107-P108</f>
        <v>81500</v>
      </c>
    </row>
    <row r="110" spans="1:16">
      <c r="B110" s="434" t="s">
        <v>3</v>
      </c>
      <c r="C110" s="3" t="s">
        <v>8</v>
      </c>
      <c r="D110" s="14">
        <f>+H107/K107</f>
        <v>1.0134715025906735</v>
      </c>
      <c r="E110" s="14">
        <f>+I107/L107</f>
        <v>1.0194029850746269</v>
      </c>
      <c r="G110" s="3" t="s">
        <v>62</v>
      </c>
      <c r="H110" s="3">
        <v>500</v>
      </c>
      <c r="I110" s="3">
        <v>500</v>
      </c>
      <c r="J110" s="7" t="s">
        <v>161</v>
      </c>
      <c r="K110" s="7">
        <v>10000</v>
      </c>
      <c r="L110" s="7">
        <v>10000</v>
      </c>
      <c r="N110" s="2" t="s">
        <v>82</v>
      </c>
      <c r="O110" s="2">
        <v>72000</v>
      </c>
      <c r="P110" s="2">
        <v>68100</v>
      </c>
    </row>
    <row r="111" spans="1:16">
      <c r="B111" s="435"/>
      <c r="C111" s="3" t="s">
        <v>9</v>
      </c>
      <c r="D111" s="14">
        <f>+SUM(H108:H109)/K107</f>
        <v>0.98756476683937822</v>
      </c>
      <c r="E111" s="14">
        <f>+SUM(I108:I109)/L107</f>
        <v>1.0119402985074626</v>
      </c>
      <c r="G111" s="10"/>
      <c r="H111" s="10"/>
      <c r="I111" s="10"/>
      <c r="J111" s="10" t="s">
        <v>62</v>
      </c>
      <c r="K111" s="10">
        <v>7800</v>
      </c>
      <c r="L111" s="10">
        <v>5600</v>
      </c>
      <c r="N111" s="1" t="s">
        <v>83</v>
      </c>
      <c r="O111" s="1">
        <f>+O109-O110</f>
        <v>14550</v>
      </c>
      <c r="P111" s="1">
        <f t="shared" ref="P111" si="6">+P109-P110</f>
        <v>13400</v>
      </c>
    </row>
    <row r="112" spans="1:16">
      <c r="B112" s="435"/>
      <c r="C112" s="3" t="s">
        <v>10</v>
      </c>
      <c r="D112" s="14">
        <f>+H112/K121</f>
        <v>3.866774193548387</v>
      </c>
      <c r="E112" s="14">
        <f>+I112/L121</f>
        <v>3.5802469135802468</v>
      </c>
      <c r="G112" s="9" t="s">
        <v>29</v>
      </c>
      <c r="H112" s="9">
        <f>+H113+H119</f>
        <v>239740</v>
      </c>
      <c r="I112" s="9">
        <f>+I113+I119</f>
        <v>232000</v>
      </c>
      <c r="J112" s="9" t="s">
        <v>72</v>
      </c>
      <c r="K112" s="9">
        <f>+SUM(K113:K116)</f>
        <v>178000</v>
      </c>
      <c r="L112" s="9">
        <f>+SUM(L113:L116)</f>
        <v>168500</v>
      </c>
      <c r="N112" s="1" t="s">
        <v>116</v>
      </c>
      <c r="O112" s="1">
        <v>3</v>
      </c>
      <c r="P112" s="1">
        <v>5</v>
      </c>
    </row>
    <row r="113" spans="1:16">
      <c r="B113" s="435"/>
      <c r="C113" s="3" t="s">
        <v>11</v>
      </c>
      <c r="D113" s="14">
        <f>+H112/SUM(K112,K121)</f>
        <v>0.99891666666666667</v>
      </c>
      <c r="E113" s="14">
        <f>+I112/SUM(L112,L121)</f>
        <v>0.99442777539648519</v>
      </c>
      <c r="G113" s="3" t="s">
        <v>63</v>
      </c>
      <c r="H113" s="3">
        <f>+SUM(H114:H118)</f>
        <v>236740</v>
      </c>
      <c r="I113" s="3">
        <f>+SUM(I114:I118)</f>
        <v>227000</v>
      </c>
      <c r="J113" s="3" t="s">
        <v>73</v>
      </c>
      <c r="K113" s="3">
        <v>170000</v>
      </c>
      <c r="L113" s="3">
        <v>160000</v>
      </c>
      <c r="N113" s="2" t="s">
        <v>84</v>
      </c>
      <c r="O113" s="2">
        <v>5400</v>
      </c>
      <c r="P113" s="2">
        <v>9500</v>
      </c>
    </row>
    <row r="114" spans="1:16">
      <c r="A114" s="1" t="s">
        <v>155</v>
      </c>
      <c r="B114" s="435"/>
      <c r="C114" s="4" t="s">
        <v>12</v>
      </c>
      <c r="D114" s="14">
        <f>+K121/K122</f>
        <v>0.23910528345545701</v>
      </c>
      <c r="E114" s="14">
        <f>+L121/L122</f>
        <v>0.21578421578421578</v>
      </c>
      <c r="G114" s="3" t="s">
        <v>64</v>
      </c>
      <c r="H114" s="3">
        <v>95500</v>
      </c>
      <c r="I114" s="3">
        <v>92500</v>
      </c>
      <c r="J114" s="7" t="s">
        <v>162</v>
      </c>
      <c r="K114" s="7">
        <v>8000</v>
      </c>
      <c r="L114" s="7">
        <v>8500</v>
      </c>
      <c r="N114" s="1" t="s">
        <v>85</v>
      </c>
      <c r="O114" s="1">
        <f>+O111+O112-O113</f>
        <v>9153</v>
      </c>
      <c r="P114" s="1">
        <f t="shared" ref="P114" si="7">+P111+P112-P113</f>
        <v>3905</v>
      </c>
    </row>
    <row r="115" spans="1:16">
      <c r="A115" s="1" t="s">
        <v>164</v>
      </c>
      <c r="B115" s="436"/>
      <c r="C115" s="3" t="s">
        <v>13</v>
      </c>
      <c r="D115" s="14">
        <f>+K117/K121</f>
        <v>3.1822580645161289</v>
      </c>
      <c r="E115" s="14">
        <f>+L117/L121</f>
        <v>3.6342592592592591</v>
      </c>
      <c r="G115" s="3" t="s">
        <v>66</v>
      </c>
      <c r="H115" s="3">
        <v>90000</v>
      </c>
      <c r="I115" s="3">
        <v>90000</v>
      </c>
      <c r="J115" s="7"/>
      <c r="K115" s="7"/>
      <c r="L115" s="7"/>
      <c r="N115" s="1" t="s">
        <v>117</v>
      </c>
    </row>
    <row r="116" spans="1:16">
      <c r="B116" s="434" t="s">
        <v>4</v>
      </c>
      <c r="C116" s="3" t="s">
        <v>14</v>
      </c>
      <c r="D116" s="13">
        <f>+O107/H122</f>
        <v>0.48013883532587737</v>
      </c>
      <c r="E116" s="13">
        <f>+P107/I122</f>
        <v>0.37296037296037299</v>
      </c>
      <c r="F116" s="1" t="s">
        <v>41</v>
      </c>
      <c r="G116" s="3" t="s">
        <v>163</v>
      </c>
      <c r="H116" s="3">
        <v>51240</v>
      </c>
      <c r="I116" s="3">
        <v>44500</v>
      </c>
      <c r="J116" s="10"/>
      <c r="K116" s="10"/>
      <c r="L116" s="10"/>
      <c r="N116" s="2" t="s">
        <v>118</v>
      </c>
      <c r="O116" s="2"/>
      <c r="P116" s="2"/>
    </row>
    <row r="117" spans="1:16">
      <c r="B117" s="435"/>
      <c r="C117" s="3" t="s">
        <v>15</v>
      </c>
      <c r="D117" s="13">
        <f>+O107/H109</f>
        <v>95.769230769230774</v>
      </c>
      <c r="E117" s="13">
        <f>+P107/I109</f>
        <v>93.333333333333329</v>
      </c>
      <c r="G117" s="7"/>
      <c r="H117" s="7"/>
      <c r="I117" s="7"/>
      <c r="J117" s="9" t="s">
        <v>74</v>
      </c>
      <c r="K117" s="9">
        <f>+K107+K112</f>
        <v>197300</v>
      </c>
      <c r="L117" s="9">
        <f>+L107+L112</f>
        <v>235500</v>
      </c>
      <c r="N117" s="1" t="s">
        <v>119</v>
      </c>
      <c r="O117" s="1">
        <f>+O114+O115-O116</f>
        <v>9153</v>
      </c>
      <c r="P117" s="1">
        <f t="shared" ref="P117" si="8">+P114+P115-P116</f>
        <v>3905</v>
      </c>
    </row>
    <row r="118" spans="1:16">
      <c r="B118" s="435"/>
      <c r="C118" s="3" t="s">
        <v>16</v>
      </c>
      <c r="D118" s="13">
        <f>+O107/H110</f>
        <v>249</v>
      </c>
      <c r="E118" s="13">
        <f>+P107/I110</f>
        <v>224</v>
      </c>
      <c r="G118" s="7"/>
      <c r="H118" s="7"/>
      <c r="I118" s="7"/>
      <c r="J118" s="3" t="s">
        <v>75</v>
      </c>
      <c r="K118" s="3">
        <v>30000</v>
      </c>
      <c r="L118" s="3">
        <v>30000</v>
      </c>
      <c r="N118" s="1" t="s">
        <v>86</v>
      </c>
      <c r="O118" s="1">
        <v>2703</v>
      </c>
      <c r="P118" s="1">
        <v>1105</v>
      </c>
    </row>
    <row r="119" spans="1:16" ht="16.8" thickBot="1">
      <c r="A119" s="1" t="s">
        <v>155</v>
      </c>
      <c r="B119" s="436"/>
      <c r="C119" s="4" t="s">
        <v>17</v>
      </c>
      <c r="D119" s="13">
        <f>+O107/H113</f>
        <v>0.52589338514826389</v>
      </c>
      <c r="E119" s="13">
        <f>+P107/I113</f>
        <v>0.4933920704845815</v>
      </c>
      <c r="G119" s="7" t="s">
        <v>67</v>
      </c>
      <c r="H119" s="7">
        <v>3000</v>
      </c>
      <c r="I119" s="7">
        <v>5000</v>
      </c>
      <c r="J119" s="3" t="s">
        <v>76</v>
      </c>
      <c r="K119" s="3">
        <v>10000</v>
      </c>
      <c r="L119" s="3">
        <v>10000</v>
      </c>
      <c r="N119" s="12" t="s">
        <v>87</v>
      </c>
      <c r="O119" s="12">
        <f>+O117-O118</f>
        <v>6450</v>
      </c>
      <c r="P119" s="12">
        <f t="shared" ref="P119" si="9">+P117-P118</f>
        <v>2800</v>
      </c>
    </row>
    <row r="120" spans="1:16" ht="16.8" thickTop="1">
      <c r="G120" s="7"/>
      <c r="H120" s="7"/>
      <c r="I120" s="7"/>
      <c r="J120" s="7" t="s">
        <v>115</v>
      </c>
      <c r="K120" s="7">
        <v>22000</v>
      </c>
      <c r="L120" s="7">
        <v>24800</v>
      </c>
    </row>
    <row r="121" spans="1:16">
      <c r="G121" s="7"/>
      <c r="H121" s="7"/>
      <c r="I121" s="7"/>
      <c r="J121" s="7" t="s">
        <v>77</v>
      </c>
      <c r="K121" s="7">
        <f>+SUM(K118:K120)</f>
        <v>62000</v>
      </c>
      <c r="L121" s="7">
        <f>+SUM(L118:L120)</f>
        <v>64800</v>
      </c>
    </row>
    <row r="122" spans="1:16" ht="16.8" thickBot="1">
      <c r="G122" s="8" t="s">
        <v>68</v>
      </c>
      <c r="H122" s="8">
        <f>+H112+H107</f>
        <v>259300</v>
      </c>
      <c r="I122" s="8">
        <f>+I112+I107</f>
        <v>300300</v>
      </c>
      <c r="J122" s="8" t="s">
        <v>68</v>
      </c>
      <c r="K122" s="8">
        <f>+K117+K121</f>
        <v>259300</v>
      </c>
      <c r="L122" s="8">
        <f>+L117+L121</f>
        <v>300300</v>
      </c>
    </row>
    <row r="123" spans="1:16" ht="16.8" thickTop="1">
      <c r="A123" s="1" t="s">
        <v>158</v>
      </c>
      <c r="B123" s="1" t="s">
        <v>159</v>
      </c>
    </row>
    <row r="126" spans="1:16">
      <c r="A126" s="1" t="s">
        <v>165</v>
      </c>
    </row>
    <row r="127" spans="1:16">
      <c r="B127" s="1" t="s">
        <v>141</v>
      </c>
    </row>
    <row r="129" spans="1:16">
      <c r="A129" s="1" t="s">
        <v>157</v>
      </c>
      <c r="B129" s="16"/>
      <c r="D129" s="1" t="s">
        <v>153</v>
      </c>
      <c r="E129" s="1" t="s">
        <v>154</v>
      </c>
      <c r="H129" s="1" t="str">
        <f>+D129</f>
        <v>D社</v>
      </c>
      <c r="I129" s="1" t="str">
        <f>+E129</f>
        <v>同業他社</v>
      </c>
      <c r="K129" s="1" t="str">
        <f>+D129</f>
        <v>D社</v>
      </c>
      <c r="L129" s="1" t="str">
        <f>+E129</f>
        <v>同業他社</v>
      </c>
      <c r="O129" s="1" t="str">
        <f>+D129</f>
        <v>D社</v>
      </c>
      <c r="P129" s="1" t="str">
        <f>+E129</f>
        <v>同業他社</v>
      </c>
    </row>
    <row r="130" spans="1:16">
      <c r="B130" s="434" t="s">
        <v>2</v>
      </c>
      <c r="C130" s="3" t="s">
        <v>5</v>
      </c>
      <c r="D130" s="14">
        <f>+O132/O130</f>
        <v>0.26388583973655322</v>
      </c>
      <c r="E130" s="14">
        <f>+P132/P130</f>
        <v>0.16320645905420991</v>
      </c>
      <c r="F130" s="1" t="s">
        <v>89</v>
      </c>
      <c r="G130" s="11" t="s">
        <v>27</v>
      </c>
      <c r="H130" s="11">
        <f>SUM(H131:H134)</f>
        <v>2860</v>
      </c>
      <c r="I130" s="11">
        <f>SUM(I131:I134)</f>
        <v>3104</v>
      </c>
      <c r="J130" s="11" t="s">
        <v>69</v>
      </c>
      <c r="K130" s="11">
        <f>+SUM(K131:K134)</f>
        <v>2585</v>
      </c>
      <c r="L130" s="11">
        <f>+SUM(L131:L134)</f>
        <v>1069</v>
      </c>
      <c r="N130" s="1" t="s">
        <v>37</v>
      </c>
      <c r="O130" s="1">
        <v>4555</v>
      </c>
      <c r="P130" s="1">
        <v>3468</v>
      </c>
    </row>
    <row r="131" spans="1:16">
      <c r="B131" s="435"/>
      <c r="C131" s="4" t="s">
        <v>6</v>
      </c>
      <c r="D131" s="14">
        <f>+O134/O130</f>
        <v>2.1514818880351262E-2</v>
      </c>
      <c r="E131" s="14">
        <f>+P134/P130</f>
        <v>3.9504036908881199E-2</v>
      </c>
      <c r="G131" s="3" t="s">
        <v>59</v>
      </c>
      <c r="H131" s="3">
        <v>707</v>
      </c>
      <c r="I131" s="3">
        <v>1243</v>
      </c>
      <c r="J131" s="3" t="s">
        <v>70</v>
      </c>
      <c r="K131" s="3">
        <v>382</v>
      </c>
      <c r="L131" s="3">
        <v>284</v>
      </c>
      <c r="N131" s="2" t="s">
        <v>80</v>
      </c>
      <c r="O131" s="2">
        <v>3353</v>
      </c>
      <c r="P131" s="2">
        <v>2902</v>
      </c>
    </row>
    <row r="132" spans="1:16">
      <c r="A132" s="1" t="s">
        <v>155</v>
      </c>
      <c r="B132" s="436"/>
      <c r="C132" s="3" t="s">
        <v>7</v>
      </c>
      <c r="D132" s="14">
        <f>+O137/O130</f>
        <v>1.6465422612513721E-2</v>
      </c>
      <c r="E132" s="14">
        <f>+P137/P130</f>
        <v>4.5271049596309114E-2</v>
      </c>
      <c r="G132" s="3" t="s">
        <v>166</v>
      </c>
      <c r="H132" s="3">
        <v>36</v>
      </c>
      <c r="I132" s="3">
        <v>121</v>
      </c>
      <c r="J132" s="3" t="s">
        <v>71</v>
      </c>
      <c r="K132" s="3">
        <v>1249</v>
      </c>
      <c r="L132" s="3">
        <v>557</v>
      </c>
      <c r="N132" s="1" t="s">
        <v>81</v>
      </c>
      <c r="O132" s="1">
        <f>+O130-O131</f>
        <v>1202</v>
      </c>
      <c r="P132" s="1">
        <f t="shared" ref="P132" si="10">+P130-P131</f>
        <v>566</v>
      </c>
    </row>
    <row r="133" spans="1:16">
      <c r="B133" s="434" t="s">
        <v>3</v>
      </c>
      <c r="C133" s="3" t="s">
        <v>8</v>
      </c>
      <c r="D133" s="14">
        <f>+H130/K130</f>
        <v>1.1063829787234043</v>
      </c>
      <c r="E133" s="14">
        <f>+I130/L130</f>
        <v>2.903648269410664</v>
      </c>
      <c r="G133" s="3" t="s">
        <v>167</v>
      </c>
      <c r="H133" s="3">
        <v>1165</v>
      </c>
      <c r="I133" s="3">
        <v>1159</v>
      </c>
      <c r="J133" s="7" t="s">
        <v>162</v>
      </c>
      <c r="K133" s="7">
        <v>954</v>
      </c>
      <c r="L133" s="7">
        <v>228</v>
      </c>
      <c r="N133" s="2" t="s">
        <v>82</v>
      </c>
      <c r="O133" s="2">
        <v>1104</v>
      </c>
      <c r="P133" s="2">
        <v>429</v>
      </c>
    </row>
    <row r="134" spans="1:16">
      <c r="B134" s="435"/>
      <c r="C134" s="3" t="s">
        <v>9</v>
      </c>
      <c r="D134" s="14">
        <f>+SUM(H131:H132)/K130</f>
        <v>0.28742746615087039</v>
      </c>
      <c r="E134" s="14">
        <f>+SUM(I131:I132)/L130</f>
        <v>1.2759588400374182</v>
      </c>
      <c r="G134" s="10" t="s">
        <v>162</v>
      </c>
      <c r="H134" s="10">
        <v>952</v>
      </c>
      <c r="I134" s="10">
        <v>581</v>
      </c>
      <c r="J134" s="10"/>
      <c r="K134" s="10"/>
      <c r="L134" s="10"/>
      <c r="N134" s="1" t="s">
        <v>83</v>
      </c>
      <c r="O134" s="1">
        <f>+O132-O133</f>
        <v>98</v>
      </c>
      <c r="P134" s="1">
        <f t="shared" ref="P134" si="11">+P132-P133</f>
        <v>137</v>
      </c>
    </row>
    <row r="135" spans="1:16">
      <c r="B135" s="435"/>
      <c r="C135" s="3" t="s">
        <v>10</v>
      </c>
      <c r="D135" s="14">
        <f>+H135/K144</f>
        <v>1.618421052631579</v>
      </c>
      <c r="E135" s="14">
        <f>+I135/L144</f>
        <v>0.16919082648204239</v>
      </c>
      <c r="G135" s="9" t="s">
        <v>29</v>
      </c>
      <c r="H135" s="9">
        <f>+H136+H142+H141</f>
        <v>984</v>
      </c>
      <c r="I135" s="9">
        <f>+I136+I142+I141</f>
        <v>391</v>
      </c>
      <c r="J135" s="9" t="s">
        <v>72</v>
      </c>
      <c r="K135" s="9">
        <f>+SUM(K136:K139)</f>
        <v>651</v>
      </c>
      <c r="L135" s="9">
        <f>+SUM(L136:L139)</f>
        <v>115</v>
      </c>
      <c r="N135" s="1" t="s">
        <v>116</v>
      </c>
      <c r="O135" s="1">
        <v>30</v>
      </c>
      <c r="P135" s="1">
        <v>26</v>
      </c>
    </row>
    <row r="136" spans="1:16">
      <c r="B136" s="435"/>
      <c r="C136" s="3" t="s">
        <v>11</v>
      </c>
      <c r="D136" s="14">
        <f>+H135/SUM(K135,K144)</f>
        <v>0.78157267672756159</v>
      </c>
      <c r="E136" s="14">
        <f>+I135/SUM(L135,L144)</f>
        <v>0.16117065127782357</v>
      </c>
      <c r="G136" s="3" t="s">
        <v>63</v>
      </c>
      <c r="H136" s="3">
        <f>+SUM(H137:H140)</f>
        <v>860</v>
      </c>
      <c r="I136" s="3">
        <f>+SUM(I137:I140)</f>
        <v>255</v>
      </c>
      <c r="J136" s="3" t="s">
        <v>172</v>
      </c>
      <c r="K136" s="3">
        <v>561</v>
      </c>
      <c r="L136" s="3">
        <v>18</v>
      </c>
      <c r="N136" s="2" t="s">
        <v>84</v>
      </c>
      <c r="O136" s="2">
        <v>53</v>
      </c>
      <c r="P136" s="2">
        <v>6</v>
      </c>
    </row>
    <row r="137" spans="1:16">
      <c r="A137" s="1" t="s">
        <v>155</v>
      </c>
      <c r="B137" s="435"/>
      <c r="C137" s="4" t="s">
        <v>12</v>
      </c>
      <c r="D137" s="14">
        <f>+K144/K145</f>
        <v>0.15816857440166493</v>
      </c>
      <c r="E137" s="14">
        <f>+L144/L145</f>
        <v>0.66123032904148782</v>
      </c>
      <c r="G137" s="3" t="s">
        <v>168</v>
      </c>
      <c r="H137" s="3">
        <v>622</v>
      </c>
      <c r="I137" s="3">
        <v>129</v>
      </c>
      <c r="J137" s="7" t="s">
        <v>162</v>
      </c>
      <c r="K137" s="7">
        <v>90</v>
      </c>
      <c r="L137" s="7">
        <v>97</v>
      </c>
      <c r="N137" s="1" t="s">
        <v>85</v>
      </c>
      <c r="O137" s="1">
        <f>+O134+O135-O136</f>
        <v>75</v>
      </c>
      <c r="P137" s="1">
        <f t="shared" ref="P137" si="12">+P134+P135-P136</f>
        <v>157</v>
      </c>
    </row>
    <row r="138" spans="1:16">
      <c r="B138" s="436"/>
      <c r="C138" s="3" t="s">
        <v>13</v>
      </c>
      <c r="D138" s="14">
        <f>+K140/K144</f>
        <v>5.3223684210526319</v>
      </c>
      <c r="E138" s="14">
        <f>+L140/L144</f>
        <v>0.51233232366940717</v>
      </c>
      <c r="G138" s="3" t="s">
        <v>169</v>
      </c>
      <c r="H138" s="3">
        <v>19</v>
      </c>
      <c r="I138" s="3">
        <v>0</v>
      </c>
      <c r="J138" s="7"/>
      <c r="K138" s="7"/>
      <c r="L138" s="7"/>
      <c r="N138" s="1" t="s">
        <v>117</v>
      </c>
    </row>
    <row r="139" spans="1:16">
      <c r="B139" s="434" t="s">
        <v>4</v>
      </c>
      <c r="C139" s="3" t="s">
        <v>14</v>
      </c>
      <c r="D139" s="13">
        <f>+O130/H145</f>
        <v>1.1849635796045785</v>
      </c>
      <c r="E139" s="13">
        <f>+P130/I145</f>
        <v>0.99227467811158798</v>
      </c>
      <c r="F139" s="1" t="s">
        <v>41</v>
      </c>
      <c r="G139" s="3" t="s">
        <v>170</v>
      </c>
      <c r="H139" s="3">
        <v>87</v>
      </c>
      <c r="I139" s="3">
        <v>110</v>
      </c>
      <c r="J139" s="10"/>
      <c r="K139" s="10"/>
      <c r="L139" s="10"/>
      <c r="N139" s="2" t="s">
        <v>118</v>
      </c>
      <c r="O139" s="2">
        <v>67</v>
      </c>
      <c r="P139" s="2">
        <v>4</v>
      </c>
    </row>
    <row r="140" spans="1:16">
      <c r="B140" s="435"/>
      <c r="C140" s="3" t="s">
        <v>15</v>
      </c>
      <c r="D140" s="13">
        <f>+O130/H132</f>
        <v>126.52777777777777</v>
      </c>
      <c r="E140" s="13">
        <f>+P130/I132</f>
        <v>28.66115702479339</v>
      </c>
      <c r="G140" s="7" t="s">
        <v>163</v>
      </c>
      <c r="H140" s="7">
        <v>132</v>
      </c>
      <c r="I140" s="7">
        <v>16</v>
      </c>
      <c r="J140" s="9" t="s">
        <v>74</v>
      </c>
      <c r="K140" s="9">
        <f>+K130+K135</f>
        <v>3236</v>
      </c>
      <c r="L140" s="9">
        <f>+L130+L135</f>
        <v>1184</v>
      </c>
      <c r="N140" s="1" t="s">
        <v>119</v>
      </c>
      <c r="O140" s="1">
        <f>+O137+O138-O139</f>
        <v>8</v>
      </c>
      <c r="P140" s="1">
        <f t="shared" ref="P140" si="13">+P137+P138-P139</f>
        <v>153</v>
      </c>
    </row>
    <row r="141" spans="1:16">
      <c r="A141" s="1" t="s">
        <v>156</v>
      </c>
      <c r="B141" s="435"/>
      <c r="C141" s="3" t="s">
        <v>16</v>
      </c>
      <c r="D141" s="13">
        <f>+O130/H133</f>
        <v>3.9098712446351933</v>
      </c>
      <c r="E141" s="13">
        <f>+P130/I133</f>
        <v>2.9922346850733392</v>
      </c>
      <c r="G141" s="7" t="s">
        <v>171</v>
      </c>
      <c r="H141" s="7">
        <v>11</v>
      </c>
      <c r="I141" s="7">
        <v>17</v>
      </c>
      <c r="J141" s="3" t="s">
        <v>75</v>
      </c>
      <c r="K141" s="3">
        <v>30</v>
      </c>
      <c r="L141" s="3">
        <v>373</v>
      </c>
      <c r="N141" s="1" t="s">
        <v>86</v>
      </c>
      <c r="O141" s="1">
        <v>-27</v>
      </c>
      <c r="P141" s="1">
        <v>67</v>
      </c>
    </row>
    <row r="142" spans="1:16" ht="16.8" thickBot="1">
      <c r="B142" s="436"/>
      <c r="C142" s="4" t="s">
        <v>17</v>
      </c>
      <c r="D142" s="13">
        <f>+O130/H136</f>
        <v>5.2965116279069768</v>
      </c>
      <c r="E142" s="13">
        <f>+P130/I136</f>
        <v>13.6</v>
      </c>
      <c r="G142" s="7" t="s">
        <v>67</v>
      </c>
      <c r="H142" s="7">
        <v>113</v>
      </c>
      <c r="I142" s="7">
        <v>119</v>
      </c>
      <c r="J142" s="3" t="s">
        <v>76</v>
      </c>
      <c r="K142" s="3">
        <v>480</v>
      </c>
      <c r="L142" s="3">
        <v>298</v>
      </c>
      <c r="N142" s="12" t="s">
        <v>87</v>
      </c>
      <c r="O142" s="12">
        <f>+O140-O141</f>
        <v>35</v>
      </c>
      <c r="P142" s="12">
        <f t="shared" ref="P142" si="14">+P140-P141</f>
        <v>86</v>
      </c>
    </row>
    <row r="143" spans="1:16" ht="16.8" thickTop="1">
      <c r="G143" s="7"/>
      <c r="H143" s="7"/>
      <c r="I143" s="7"/>
      <c r="J143" s="7" t="s">
        <v>115</v>
      </c>
      <c r="K143" s="7">
        <v>98</v>
      </c>
      <c r="L143" s="7">
        <v>1640</v>
      </c>
    </row>
    <row r="144" spans="1:16">
      <c r="G144" s="7"/>
      <c r="H144" s="7"/>
      <c r="I144" s="7"/>
      <c r="J144" s="7" t="s">
        <v>77</v>
      </c>
      <c r="K144" s="7">
        <f>+SUM(K141:K143)</f>
        <v>608</v>
      </c>
      <c r="L144" s="7">
        <f>+SUM(L141:L143)</f>
        <v>2311</v>
      </c>
    </row>
    <row r="145" spans="1:12" ht="16.8" thickBot="1">
      <c r="G145" s="8" t="s">
        <v>68</v>
      </c>
      <c r="H145" s="8">
        <f>+H135+H130</f>
        <v>3844</v>
      </c>
      <c r="I145" s="8">
        <f>+I135+I130</f>
        <v>3495</v>
      </c>
      <c r="J145" s="8" t="s">
        <v>68</v>
      </c>
      <c r="K145" s="8">
        <f>+K140+K144</f>
        <v>3844</v>
      </c>
      <c r="L145" s="8">
        <f>+L140+L144</f>
        <v>3495</v>
      </c>
    </row>
    <row r="146" spans="1:12" ht="16.8" thickTop="1">
      <c r="A146" s="1" t="s">
        <v>158</v>
      </c>
      <c r="B146" s="1" t="s">
        <v>159</v>
      </c>
    </row>
    <row r="205" ht="16.8" customHeight="1"/>
    <row r="241" ht="16.8" customHeight="1"/>
    <row r="264" ht="16.8" customHeight="1"/>
  </sheetData>
  <mergeCells count="28">
    <mergeCell ref="B34:B37"/>
    <mergeCell ref="E34:E37"/>
    <mergeCell ref="G5:G13"/>
    <mergeCell ref="E14:E17"/>
    <mergeCell ref="G14:G17"/>
    <mergeCell ref="B5:B7"/>
    <mergeCell ref="B8:B13"/>
    <mergeCell ref="B14:B17"/>
    <mergeCell ref="F5:F7"/>
    <mergeCell ref="E10:E11"/>
    <mergeCell ref="F8:F9"/>
    <mergeCell ref="B25:B27"/>
    <mergeCell ref="F25:F27"/>
    <mergeCell ref="B28:B33"/>
    <mergeCell ref="F28:F29"/>
    <mergeCell ref="E30:E31"/>
    <mergeCell ref="B63:B66"/>
    <mergeCell ref="B84:B86"/>
    <mergeCell ref="B87:B92"/>
    <mergeCell ref="B93:B96"/>
    <mergeCell ref="B54:B56"/>
    <mergeCell ref="B57:B62"/>
    <mergeCell ref="B139:B142"/>
    <mergeCell ref="B107:B109"/>
    <mergeCell ref="B110:B115"/>
    <mergeCell ref="B116:B119"/>
    <mergeCell ref="B130:B132"/>
    <mergeCell ref="B133:B138"/>
  </mergeCells>
  <phoneticPr fontId="2"/>
  <conditionalFormatting sqref="B14:XFD14 A4:D4 F4:XFD4 A1:XFD3 A8:F8 A6:A7 A5:XFD5 F11 H6:XFD13 A9:A17 F15:F17 I17:XFD17 H15:XFD16 C6:E7 C9:E9 C10:F10 C11:D11 C12:F13 C15:D17 A25:A37 B34:F34 B28:F28 B25:F25 F31 F35:F37 C26:E27 C29:E29 C30:F30 C31:D31 C32:F33 C35:D37 A38:XFD52 G25:XFD37 A18:XFD24 A53:A66 B63:C63 B57:C57 B54:C54 C55:C56 C58:C62 C64:C66 A67:XFD82 Q83:XFD96 B93:C93 B87:C87 B84:C84 C85:C86 C88:C92 A97:F102 C94:F96 G100:I102 M97:XFD102 J86:L102 M86:P96 J84:P85 G94:H99 I83:I99 B83:P83 A83:A96 A103:XFD105 Q106:XFD119 B116:C116 B110:C110 B107:C107 C108:C109 C111:C115 A120:F123 C117:F119 G123:I123 M109:P119 J107:P108 G117:H122 I106:I122 B106:P106 A124:I125 M120:XFD125 J109:L125 A106:A107 A109:A119 A149:XFD1048576 A126:XFD128 Q129:XFD142 B139:C139 B133:C133 B130:C130 C131:C132 C134:C138 A143:F146 C140:F142 G146:I146 M132:P142 J130:P131 G140:H145 B129:P129 A147:I148 M143:XFD148 J132:L148 I129:I145 B53:XFD53 D54:XFD66 D84:H93 D107:H116 D130:H139 A129:A130 A132:A142">
    <cfRule type="expression" dxfId="6" priority="37">
      <formula>+_xlfn.ISFORMULA(A1)</formula>
    </cfRule>
  </conditionalFormatting>
  <pageMargins left="0.25" right="0.25" top="0.75" bottom="0.75" header="0.3" footer="0.3"/>
  <pageSetup paperSize="9" scale="66"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01AA-C75A-4712-875A-4355B19771F4}">
  <sheetPr>
    <pageSetUpPr fitToPage="1"/>
  </sheetPr>
  <dimension ref="A1:M257"/>
  <sheetViews>
    <sheetView zoomScale="85" zoomScaleNormal="85" workbookViewId="0">
      <selection activeCell="B122" sqref="B122"/>
    </sheetView>
  </sheetViews>
  <sheetFormatPr defaultColWidth="13.6640625" defaultRowHeight="16.2"/>
  <cols>
    <col min="1" max="16384" width="13.6640625" style="1"/>
  </cols>
  <sheetData>
    <row r="1" spans="1:8">
      <c r="A1" s="1" t="s">
        <v>173</v>
      </c>
    </row>
    <row r="3" spans="1:8">
      <c r="A3" s="1" t="s">
        <v>174</v>
      </c>
    </row>
    <row r="4" spans="1:8">
      <c r="B4" s="1" t="s">
        <v>175</v>
      </c>
    </row>
    <row r="6" spans="1:8">
      <c r="C6" s="1" t="s">
        <v>181</v>
      </c>
      <c r="D6" s="1">
        <v>1000</v>
      </c>
    </row>
    <row r="7" spans="1:8">
      <c r="C7" s="1" t="s">
        <v>180</v>
      </c>
    </row>
    <row r="8" spans="1:8">
      <c r="B8" s="1" t="s">
        <v>37</v>
      </c>
      <c r="C8" s="1">
        <v>1000</v>
      </c>
      <c r="D8" s="1">
        <f>+D6*C8</f>
        <v>1000000</v>
      </c>
      <c r="G8" s="1" t="s">
        <v>183</v>
      </c>
    </row>
    <row r="9" spans="1:8">
      <c r="B9" s="1" t="s">
        <v>176</v>
      </c>
      <c r="C9" s="2">
        <v>600</v>
      </c>
      <c r="D9" s="2">
        <f>+C9*D6</f>
        <v>600000</v>
      </c>
      <c r="E9" s="1" t="s">
        <v>182</v>
      </c>
      <c r="G9" s="1" t="s">
        <v>37</v>
      </c>
      <c r="H9" s="1" t="s">
        <v>184</v>
      </c>
    </row>
    <row r="10" spans="1:8">
      <c r="B10" s="1" t="s">
        <v>177</v>
      </c>
      <c r="C10" s="1">
        <f>+C8-C9</f>
        <v>400</v>
      </c>
      <c r="D10" s="1">
        <f>+D8-D9</f>
        <v>400000</v>
      </c>
      <c r="E10" s="24">
        <f>+D10/D8</f>
        <v>0.4</v>
      </c>
      <c r="G10" s="1">
        <f>+D11/E10</f>
        <v>800000</v>
      </c>
      <c r="H10" s="24">
        <f>+G10/D8</f>
        <v>0.8</v>
      </c>
    </row>
    <row r="11" spans="1:8">
      <c r="B11" s="1" t="s">
        <v>178</v>
      </c>
      <c r="D11" s="1">
        <v>320000</v>
      </c>
    </row>
    <row r="12" spans="1:8" ht="16.8" thickBot="1">
      <c r="B12" s="1" t="s">
        <v>179</v>
      </c>
      <c r="D12" s="12">
        <f>+D10-D11</f>
        <v>80000</v>
      </c>
    </row>
    <row r="13" spans="1:8" ht="16.8" thickTop="1"/>
    <row r="15" spans="1:8">
      <c r="A15" s="1" t="s">
        <v>187</v>
      </c>
    </row>
    <row r="16" spans="1:8">
      <c r="B16" s="1" t="s">
        <v>185</v>
      </c>
    </row>
    <row r="18" spans="1:8">
      <c r="C18" s="1" t="s">
        <v>181</v>
      </c>
      <c r="D18" s="1">
        <v>1000</v>
      </c>
    </row>
    <row r="19" spans="1:8">
      <c r="C19" s="1" t="s">
        <v>180</v>
      </c>
    </row>
    <row r="20" spans="1:8">
      <c r="B20" s="1" t="s">
        <v>37</v>
      </c>
      <c r="C20" s="1">
        <v>1000</v>
      </c>
      <c r="D20" s="1">
        <f>+D18*C20</f>
        <v>1000000</v>
      </c>
      <c r="G20" s="1" t="s">
        <v>183</v>
      </c>
    </row>
    <row r="21" spans="1:8">
      <c r="B21" s="1" t="s">
        <v>176</v>
      </c>
      <c r="C21" s="2">
        <v>400</v>
      </c>
      <c r="D21" s="2">
        <f>+C21*D18</f>
        <v>400000</v>
      </c>
      <c r="E21" s="1" t="s">
        <v>182</v>
      </c>
      <c r="G21" s="1" t="s">
        <v>37</v>
      </c>
      <c r="H21" s="1" t="s">
        <v>186</v>
      </c>
    </row>
    <row r="22" spans="1:8">
      <c r="B22" s="1" t="s">
        <v>177</v>
      </c>
      <c r="C22" s="1">
        <f>+C20-C21</f>
        <v>600</v>
      </c>
      <c r="D22" s="1">
        <f>+D20-D21</f>
        <v>600000</v>
      </c>
      <c r="E22" s="24">
        <f>+D22/D20</f>
        <v>0.6</v>
      </c>
      <c r="G22" s="1">
        <f>+D23/E22</f>
        <v>800000</v>
      </c>
      <c r="H22" s="24">
        <f>1-G22/D20</f>
        <v>0.19999999999999996</v>
      </c>
    </row>
    <row r="23" spans="1:8">
      <c r="B23" s="1" t="s">
        <v>178</v>
      </c>
      <c r="D23" s="1">
        <v>480000</v>
      </c>
    </row>
    <row r="24" spans="1:8" ht="16.8" thickBot="1">
      <c r="B24" s="1" t="s">
        <v>179</v>
      </c>
      <c r="D24" s="12">
        <f>+D22-D23</f>
        <v>120000</v>
      </c>
    </row>
    <row r="25" spans="1:8" ht="16.8" thickTop="1"/>
    <row r="26" spans="1:8">
      <c r="A26" s="1" t="s">
        <v>188</v>
      </c>
    </row>
    <row r="27" spans="1:8">
      <c r="B27" s="1" t="s">
        <v>189</v>
      </c>
    </row>
    <row r="30" spans="1:8">
      <c r="B30" s="1" t="s">
        <v>37</v>
      </c>
      <c r="D30" s="1">
        <v>20000</v>
      </c>
      <c r="G30" s="1" t="s">
        <v>196</v>
      </c>
    </row>
    <row r="31" spans="1:8">
      <c r="B31" s="1" t="s">
        <v>192</v>
      </c>
      <c r="C31" s="1" t="s">
        <v>193</v>
      </c>
      <c r="D31" s="2">
        <f>12500+4000-D33</f>
        <v>12000</v>
      </c>
      <c r="E31" s="1" t="s">
        <v>182</v>
      </c>
      <c r="G31" s="1" t="s">
        <v>37</v>
      </c>
    </row>
    <row r="32" spans="1:8">
      <c r="B32" s="1" t="s">
        <v>177</v>
      </c>
      <c r="D32" s="1">
        <f>+D30-D31</f>
        <v>8000</v>
      </c>
      <c r="E32" s="24">
        <f>+D32/D30</f>
        <v>0.4</v>
      </c>
      <c r="G32" s="1">
        <f>+F33/E32</f>
        <v>22500</v>
      </c>
      <c r="H32" s="24"/>
    </row>
    <row r="33" spans="1:9">
      <c r="B33" s="1" t="s">
        <v>194</v>
      </c>
      <c r="D33" s="2">
        <v>4500</v>
      </c>
      <c r="E33" s="1" t="s">
        <v>197</v>
      </c>
      <c r="F33" s="1">
        <f>+D33+E37+D36-D35</f>
        <v>9000</v>
      </c>
    </row>
    <row r="34" spans="1:9">
      <c r="B34" s="1" t="s">
        <v>23</v>
      </c>
      <c r="D34" s="1">
        <f>+D32-D33</f>
        <v>3500</v>
      </c>
    </row>
    <row r="35" spans="1:9">
      <c r="B35" s="1" t="s">
        <v>190</v>
      </c>
      <c r="D35" s="1">
        <v>200</v>
      </c>
    </row>
    <row r="36" spans="1:9">
      <c r="B36" s="1" t="s">
        <v>191</v>
      </c>
      <c r="D36" s="1">
        <v>700</v>
      </c>
      <c r="E36" s="1" t="s">
        <v>195</v>
      </c>
    </row>
    <row r="37" spans="1:9" ht="16.8" thickBot="1">
      <c r="B37" s="1" t="s">
        <v>24</v>
      </c>
      <c r="D37" s="12">
        <f>+D34+D35-D36</f>
        <v>3000</v>
      </c>
      <c r="E37" s="1">
        <v>4000</v>
      </c>
    </row>
    <row r="38" spans="1:9" ht="16.8" thickTop="1"/>
    <row r="40" spans="1:9">
      <c r="A40" s="1" t="s">
        <v>198</v>
      </c>
    </row>
    <row r="41" spans="1:9">
      <c r="B41" s="1" t="s">
        <v>204</v>
      </c>
    </row>
    <row r="43" spans="1:9">
      <c r="B43" s="1" t="s">
        <v>37</v>
      </c>
      <c r="D43" s="1">
        <v>1000</v>
      </c>
    </row>
    <row r="44" spans="1:9">
      <c r="B44" s="1" t="s">
        <v>176</v>
      </c>
      <c r="D44" s="2">
        <v>600</v>
      </c>
      <c r="E44" s="1" t="s">
        <v>182</v>
      </c>
      <c r="G44" s="1" t="s">
        <v>199</v>
      </c>
      <c r="H44" s="24">
        <v>0.8</v>
      </c>
    </row>
    <row r="45" spans="1:9">
      <c r="B45" s="1" t="s">
        <v>177</v>
      </c>
      <c r="D45" s="1">
        <f>+D43-D44</f>
        <v>400</v>
      </c>
      <c r="E45" s="24">
        <f>+D45/D43</f>
        <v>0.4</v>
      </c>
      <c r="G45" s="1" t="s">
        <v>200</v>
      </c>
      <c r="H45" s="1">
        <f>+D43*H44</f>
        <v>800</v>
      </c>
    </row>
    <row r="46" spans="1:9">
      <c r="B46" s="1" t="s">
        <v>178</v>
      </c>
      <c r="D46" s="1">
        <v>380</v>
      </c>
      <c r="G46" s="1" t="s">
        <v>201</v>
      </c>
      <c r="H46" s="1">
        <f>+H45*E45</f>
        <v>320</v>
      </c>
    </row>
    <row r="47" spans="1:9" ht="16.8" thickBot="1">
      <c r="B47" s="1" t="s">
        <v>179</v>
      </c>
      <c r="D47" s="12">
        <f>+D45-D46</f>
        <v>20</v>
      </c>
      <c r="G47" s="25" t="s">
        <v>202</v>
      </c>
      <c r="H47" s="26">
        <f>+H46-D46</f>
        <v>-60</v>
      </c>
      <c r="I47" s="1" t="s">
        <v>203</v>
      </c>
    </row>
    <row r="48" spans="1:9" ht="16.8" thickTop="1"/>
    <row r="49" spans="1:10">
      <c r="A49" s="1" t="s">
        <v>205</v>
      </c>
    </row>
    <row r="50" spans="1:10">
      <c r="B50" s="1" t="s">
        <v>207</v>
      </c>
      <c r="G50" s="1" t="s">
        <v>210</v>
      </c>
      <c r="I50" s="1" t="s">
        <v>211</v>
      </c>
    </row>
    <row r="51" spans="1:10">
      <c r="G51" s="1" t="s">
        <v>206</v>
      </c>
      <c r="I51" s="1" t="s">
        <v>208</v>
      </c>
    </row>
    <row r="52" spans="1:10">
      <c r="B52" s="1" t="s">
        <v>37</v>
      </c>
      <c r="D52" s="1">
        <v>6000</v>
      </c>
      <c r="G52" s="1">
        <f>+D52*1.1</f>
        <v>6600.0000000000009</v>
      </c>
      <c r="I52" s="1">
        <f>+D52*1.1</f>
        <v>6600.0000000000009</v>
      </c>
    </row>
    <row r="53" spans="1:10">
      <c r="B53" s="1" t="s">
        <v>176</v>
      </c>
      <c r="D53" s="2">
        <v>4000</v>
      </c>
      <c r="E53" s="1" t="s">
        <v>182</v>
      </c>
      <c r="G53" s="1">
        <f>+D53*1.1</f>
        <v>4400</v>
      </c>
      <c r="I53" s="1">
        <f>+D53</f>
        <v>4000</v>
      </c>
    </row>
    <row r="54" spans="1:10">
      <c r="B54" s="1" t="s">
        <v>177</v>
      </c>
      <c r="D54" s="1">
        <f>+D52-D53</f>
        <v>2000</v>
      </c>
      <c r="E54" s="24">
        <f>+D54/D52</f>
        <v>0.33333333333333331</v>
      </c>
      <c r="G54" s="1">
        <f>+G52-G53</f>
        <v>2200.0000000000009</v>
      </c>
      <c r="I54" s="1">
        <f>+I52-I53</f>
        <v>2600.0000000000009</v>
      </c>
    </row>
    <row r="55" spans="1:10">
      <c r="B55" s="1" t="s">
        <v>178</v>
      </c>
      <c r="D55" s="1">
        <v>1600</v>
      </c>
      <c r="G55" s="1">
        <v>1600</v>
      </c>
      <c r="I55" s="1">
        <v>1600</v>
      </c>
    </row>
    <row r="56" spans="1:10" ht="16.8" thickBot="1">
      <c r="B56" s="1" t="s">
        <v>179</v>
      </c>
      <c r="D56" s="12">
        <f>+D54-D55</f>
        <v>400</v>
      </c>
      <c r="G56" s="27">
        <f>+G54-G55</f>
        <v>600.00000000000091</v>
      </c>
      <c r="H56" s="25"/>
      <c r="I56" s="27">
        <f>+I54-I55</f>
        <v>1000.0000000000009</v>
      </c>
    </row>
    <row r="57" spans="1:10" ht="16.8" thickTop="1"/>
    <row r="59" spans="1:10">
      <c r="A59" s="1" t="s">
        <v>209</v>
      </c>
    </row>
    <row r="60" spans="1:10">
      <c r="C60" s="1" t="s">
        <v>181</v>
      </c>
      <c r="D60" s="1">
        <v>1200</v>
      </c>
      <c r="G60" s="1" t="s">
        <v>210</v>
      </c>
      <c r="I60" s="1" t="s">
        <v>211</v>
      </c>
      <c r="J60" s="1" t="s">
        <v>215</v>
      </c>
    </row>
    <row r="61" spans="1:10">
      <c r="C61" s="1" t="s">
        <v>180</v>
      </c>
      <c r="G61" s="1" t="s">
        <v>212</v>
      </c>
      <c r="I61" s="1" t="s">
        <v>214</v>
      </c>
      <c r="J61" s="1">
        <v>1500</v>
      </c>
    </row>
    <row r="62" spans="1:10">
      <c r="B62" s="1" t="s">
        <v>37</v>
      </c>
      <c r="C62" s="1">
        <v>200</v>
      </c>
      <c r="D62" s="1">
        <f>+D60*C62</f>
        <v>240000</v>
      </c>
      <c r="G62" s="1">
        <f>+G64/E64</f>
        <v>285000</v>
      </c>
      <c r="I62" s="1">
        <v>180</v>
      </c>
      <c r="J62" s="1">
        <f>+I62*J61</f>
        <v>270000</v>
      </c>
    </row>
    <row r="63" spans="1:10">
      <c r="B63" s="1" t="s">
        <v>176</v>
      </c>
      <c r="C63" s="2">
        <v>80</v>
      </c>
      <c r="D63" s="2">
        <f>+C63*D60</f>
        <v>96000</v>
      </c>
      <c r="E63" s="1" t="s">
        <v>182</v>
      </c>
      <c r="I63" s="1">
        <f>+C63</f>
        <v>80</v>
      </c>
      <c r="J63" s="2">
        <f>+I63*J61</f>
        <v>120000</v>
      </c>
    </row>
    <row r="64" spans="1:10">
      <c r="B64" s="1" t="s">
        <v>177</v>
      </c>
      <c r="C64" s="1">
        <f>+C62-C63</f>
        <v>120</v>
      </c>
      <c r="D64" s="1">
        <f>+D62-D63</f>
        <v>144000</v>
      </c>
      <c r="E64" s="24">
        <f>+D64/D62</f>
        <v>0.6</v>
      </c>
      <c r="G64" s="1">
        <f>+G65+G66</f>
        <v>171000</v>
      </c>
      <c r="J64" s="1">
        <f>+J62-J63</f>
        <v>150000</v>
      </c>
    </row>
    <row r="65" spans="1:10">
      <c r="B65" s="1" t="s">
        <v>178</v>
      </c>
      <c r="D65" s="1">
        <v>104000</v>
      </c>
      <c r="G65" s="1">
        <f>+D65</f>
        <v>104000</v>
      </c>
      <c r="J65" s="1">
        <f>+D65-4000</f>
        <v>100000</v>
      </c>
    </row>
    <row r="66" spans="1:10" ht="16.8" thickBot="1">
      <c r="B66" s="1" t="s">
        <v>179</v>
      </c>
      <c r="D66" s="12">
        <f>+D64-D65</f>
        <v>40000</v>
      </c>
      <c r="G66" s="1">
        <v>67000</v>
      </c>
      <c r="J66" s="12">
        <f>+J64-J65</f>
        <v>50000</v>
      </c>
    </row>
    <row r="67" spans="1:10" ht="16.8" thickTop="1">
      <c r="G67" s="1" t="s">
        <v>213</v>
      </c>
    </row>
    <row r="69" spans="1:10">
      <c r="A69" s="1" t="s">
        <v>216</v>
      </c>
    </row>
    <row r="71" spans="1:10">
      <c r="B71" s="1" t="s">
        <v>217</v>
      </c>
    </row>
    <row r="72" spans="1:10">
      <c r="G72" s="1" t="s">
        <v>210</v>
      </c>
    </row>
    <row r="73" spans="1:10">
      <c r="C73" s="1" t="s">
        <v>219</v>
      </c>
      <c r="D73" s="1" t="s">
        <v>218</v>
      </c>
      <c r="E73" s="1" t="s">
        <v>221</v>
      </c>
      <c r="F73" s="1" t="s">
        <v>223</v>
      </c>
      <c r="G73" s="25" t="s">
        <v>226</v>
      </c>
      <c r="H73" s="25" t="s">
        <v>224</v>
      </c>
      <c r="I73" s="1" t="s">
        <v>225</v>
      </c>
    </row>
    <row r="74" spans="1:10">
      <c r="B74" s="1" t="s">
        <v>220</v>
      </c>
      <c r="C74" s="1">
        <v>400</v>
      </c>
      <c r="D74" s="1">
        <v>360</v>
      </c>
      <c r="E74" s="1">
        <f>+D74-C74</f>
        <v>-40</v>
      </c>
      <c r="G74" s="26"/>
      <c r="H74" s="26"/>
    </row>
    <row r="75" spans="1:10">
      <c r="B75" s="1" t="s">
        <v>222</v>
      </c>
      <c r="C75" s="1">
        <v>6</v>
      </c>
      <c r="D75" s="1">
        <v>-10</v>
      </c>
      <c r="E75" s="1">
        <f>+D75-C75</f>
        <v>-16</v>
      </c>
      <c r="F75" s="24">
        <f>+E75/E74</f>
        <v>0.4</v>
      </c>
      <c r="G75" s="28">
        <f>1-F75</f>
        <v>0.6</v>
      </c>
      <c r="H75" s="26">
        <f>+C74*F75-C75</f>
        <v>154</v>
      </c>
      <c r="I75" s="1">
        <f>+D74*F75-D75</f>
        <v>154</v>
      </c>
    </row>
    <row r="76" spans="1:10">
      <c r="E76" s="1" t="s">
        <v>227</v>
      </c>
    </row>
    <row r="78" spans="1:10">
      <c r="B78" s="1" t="s">
        <v>211</v>
      </c>
    </row>
    <row r="79" spans="1:10">
      <c r="C79" s="25" t="s">
        <v>229</v>
      </c>
      <c r="D79" s="26">
        <f>+H75/F75</f>
        <v>385</v>
      </c>
    </row>
    <row r="80" spans="1:10">
      <c r="C80" s="25" t="s">
        <v>228</v>
      </c>
      <c r="D80" s="26">
        <f>-D75</f>
        <v>10</v>
      </c>
    </row>
    <row r="83" spans="1:11">
      <c r="A83" s="1" t="s">
        <v>230</v>
      </c>
    </row>
    <row r="84" spans="1:11">
      <c r="A84" s="1" t="s">
        <v>231</v>
      </c>
    </row>
    <row r="85" spans="1:11">
      <c r="B85" s="1" t="s">
        <v>232</v>
      </c>
    </row>
    <row r="86" spans="1:11">
      <c r="E86" s="1" t="s">
        <v>210</v>
      </c>
      <c r="H86" s="1" t="s">
        <v>252</v>
      </c>
    </row>
    <row r="87" spans="1:11" ht="16.8" thickBot="1">
      <c r="B87" s="1" t="s">
        <v>233</v>
      </c>
      <c r="E87" s="1" t="s">
        <v>242</v>
      </c>
      <c r="I87" s="1" t="s">
        <v>255</v>
      </c>
      <c r="J87" s="1" t="s">
        <v>256</v>
      </c>
    </row>
    <row r="88" spans="1:11" ht="16.8" thickTop="1">
      <c r="F88" s="1" t="s">
        <v>249</v>
      </c>
      <c r="H88" s="1" t="s">
        <v>253</v>
      </c>
      <c r="I88" s="24">
        <v>0.95</v>
      </c>
      <c r="J88" s="30" t="s">
        <v>257</v>
      </c>
      <c r="K88" s="1" t="s">
        <v>258</v>
      </c>
    </row>
    <row r="89" spans="1:11">
      <c r="B89" s="1" t="s">
        <v>220</v>
      </c>
      <c r="C89" s="1">
        <v>7500</v>
      </c>
      <c r="E89" s="1" t="s">
        <v>220</v>
      </c>
      <c r="F89" s="1">
        <f>+C89</f>
        <v>7500</v>
      </c>
      <c r="H89" s="1" t="s">
        <v>254</v>
      </c>
      <c r="I89" s="24">
        <v>0.96</v>
      </c>
      <c r="J89" s="31">
        <f>+F89*0.6</f>
        <v>4500</v>
      </c>
      <c r="K89" s="1">
        <f>+J89*I88*I89</f>
        <v>4104</v>
      </c>
    </row>
    <row r="90" spans="1:11">
      <c r="B90" s="1" t="s">
        <v>234</v>
      </c>
      <c r="C90" s="1">
        <v>5700</v>
      </c>
      <c r="E90" s="1" t="s">
        <v>243</v>
      </c>
      <c r="F90" s="1">
        <f>+C90-F93</f>
        <v>3200</v>
      </c>
      <c r="J90" s="31">
        <f t="shared" ref="J90:J91" si="0">+F90*0.6</f>
        <v>1920</v>
      </c>
      <c r="K90" s="1">
        <f>+J90*I89</f>
        <v>1843.1999999999998</v>
      </c>
    </row>
    <row r="91" spans="1:11">
      <c r="C91" s="2"/>
      <c r="E91" s="1" t="s">
        <v>244</v>
      </c>
      <c r="F91" s="2">
        <f>+C93-F94</f>
        <v>400</v>
      </c>
      <c r="G91" s="1" t="s">
        <v>250</v>
      </c>
      <c r="J91" s="32">
        <f t="shared" si="0"/>
        <v>240</v>
      </c>
      <c r="K91" s="2">
        <f>+J91*I89</f>
        <v>230.39999999999998</v>
      </c>
    </row>
    <row r="92" spans="1:11" ht="16.8" thickBot="1">
      <c r="B92" s="1" t="s">
        <v>235</v>
      </c>
      <c r="C92" s="1">
        <f>+C89-C90</f>
        <v>1800</v>
      </c>
      <c r="E92" s="1" t="s">
        <v>245</v>
      </c>
      <c r="F92" s="1">
        <f>+F89-SUM(F90:F91)</f>
        <v>3900</v>
      </c>
      <c r="G92" s="24">
        <f>+F92/F89</f>
        <v>0.52</v>
      </c>
      <c r="J92" s="33">
        <f>+J89-SUM(J90:J91)</f>
        <v>2340</v>
      </c>
      <c r="K92" s="1">
        <f t="shared" ref="K92" si="1">+K89-SUM(K90:K91)</f>
        <v>2030.4</v>
      </c>
    </row>
    <row r="93" spans="1:11" ht="16.8" thickTop="1">
      <c r="B93" s="1" t="s">
        <v>236</v>
      </c>
      <c r="C93" s="1">
        <v>1644</v>
      </c>
      <c r="E93" s="1" t="s">
        <v>246</v>
      </c>
      <c r="F93" s="1">
        <v>2500</v>
      </c>
      <c r="J93" s="1">
        <v>1500</v>
      </c>
      <c r="K93" s="1">
        <f>+J93*0.95</f>
        <v>1425</v>
      </c>
    </row>
    <row r="94" spans="1:11">
      <c r="C94" s="2"/>
      <c r="E94" s="1" t="s">
        <v>247</v>
      </c>
      <c r="F94" s="2">
        <v>1244</v>
      </c>
      <c r="J94" s="1">
        <v>746.4</v>
      </c>
      <c r="K94" s="1">
        <f>+J94-56.4</f>
        <v>690</v>
      </c>
    </row>
    <row r="95" spans="1:11" ht="16.8" thickBot="1">
      <c r="B95" s="1" t="s">
        <v>222</v>
      </c>
      <c r="C95" s="1">
        <f>+C92-C93</f>
        <v>156</v>
      </c>
      <c r="E95" s="1" t="s">
        <v>248</v>
      </c>
      <c r="F95" s="1">
        <f>+F93-F94</f>
        <v>1256</v>
      </c>
      <c r="J95" s="12">
        <f>+J92-SUM(J93:J94)</f>
        <v>93.599999999999909</v>
      </c>
      <c r="K95" s="29">
        <f>+K92-SUM(K93:K94)</f>
        <v>-84.599999999999909</v>
      </c>
    </row>
    <row r="96" spans="1:11" ht="16.8" thickTop="1">
      <c r="B96" s="1" t="s">
        <v>237</v>
      </c>
      <c r="C96" s="1">
        <v>5</v>
      </c>
    </row>
    <row r="97" spans="1:9">
      <c r="B97" s="1" t="s">
        <v>238</v>
      </c>
      <c r="C97" s="2">
        <v>81</v>
      </c>
      <c r="F97" s="25" t="s">
        <v>229</v>
      </c>
      <c r="G97" s="26">
        <f>+SUM(F93:F94)/G92</f>
        <v>7200</v>
      </c>
    </row>
    <row r="98" spans="1:9">
      <c r="B98" s="1" t="s">
        <v>239</v>
      </c>
      <c r="C98" s="1">
        <f>+C95+C96-C97</f>
        <v>80</v>
      </c>
      <c r="F98" s="25" t="s">
        <v>251</v>
      </c>
      <c r="G98" s="28">
        <f>+G97/F89</f>
        <v>0.96</v>
      </c>
    </row>
    <row r="99" spans="1:9">
      <c r="B99" s="1" t="s">
        <v>240</v>
      </c>
      <c r="C99" s="1">
        <v>24</v>
      </c>
    </row>
    <row r="100" spans="1:9" ht="16.8" thickBot="1">
      <c r="B100" s="1" t="s">
        <v>241</v>
      </c>
      <c r="C100" s="12">
        <f>+C98-C99</f>
        <v>56</v>
      </c>
    </row>
    <row r="101" spans="1:9" ht="16.8" thickTop="1"/>
    <row r="103" spans="1:9">
      <c r="A103" s="1" t="s">
        <v>259</v>
      </c>
    </row>
    <row r="104" spans="1:9">
      <c r="B104" s="1" t="s">
        <v>261</v>
      </c>
    </row>
    <row r="106" spans="1:9">
      <c r="C106" s="1" t="s">
        <v>210</v>
      </c>
      <c r="H106" s="1" t="s">
        <v>265</v>
      </c>
    </row>
    <row r="107" spans="1:9">
      <c r="C107" s="1" t="s">
        <v>219</v>
      </c>
      <c r="D107" s="1" t="s">
        <v>218</v>
      </c>
      <c r="E107" s="1" t="s">
        <v>221</v>
      </c>
      <c r="F107" s="25" t="s">
        <v>223</v>
      </c>
    </row>
    <row r="108" spans="1:9">
      <c r="B108" s="1" t="s">
        <v>220</v>
      </c>
      <c r="C108" s="1">
        <v>2820</v>
      </c>
      <c r="D108" s="1">
        <v>2880</v>
      </c>
      <c r="E108" s="1">
        <f>+D108-C108</f>
        <v>60</v>
      </c>
      <c r="H108" s="1" t="s">
        <v>266</v>
      </c>
      <c r="I108" s="1">
        <f>+D108*1.1</f>
        <v>3168.0000000000005</v>
      </c>
    </row>
    <row r="109" spans="1:9">
      <c r="B109" s="1" t="s">
        <v>245</v>
      </c>
      <c r="D109" s="1">
        <f>+D108*F109</f>
        <v>1152</v>
      </c>
      <c r="E109" s="1">
        <f>+E113+E110</f>
        <v>24</v>
      </c>
      <c r="F109" s="24">
        <f>+E109/E108</f>
        <v>0.4</v>
      </c>
      <c r="H109" s="1" t="s">
        <v>267</v>
      </c>
      <c r="I109" s="1">
        <f>+I108*(F109+0.02)</f>
        <v>1330.5600000000004</v>
      </c>
    </row>
    <row r="110" spans="1:9">
      <c r="B110" s="25" t="s">
        <v>224</v>
      </c>
      <c r="C110" s="1" t="s">
        <v>260</v>
      </c>
      <c r="D110" s="26">
        <f>+D109-D111</f>
        <v>1082</v>
      </c>
      <c r="E110" s="1">
        <v>15</v>
      </c>
    </row>
    <row r="111" spans="1:9">
      <c r="B111" s="1" t="s">
        <v>248</v>
      </c>
      <c r="C111" s="1" t="s">
        <v>260</v>
      </c>
      <c r="D111" s="1">
        <v>70</v>
      </c>
      <c r="F111" s="24"/>
      <c r="G111" s="24"/>
    </row>
    <row r="112" spans="1:9">
      <c r="B112" s="1" t="s">
        <v>262</v>
      </c>
      <c r="D112" s="1">
        <v>40</v>
      </c>
      <c r="F112" s="24"/>
      <c r="G112" s="24"/>
    </row>
    <row r="113" spans="1:13">
      <c r="B113" s="1" t="s">
        <v>239</v>
      </c>
      <c r="C113" s="1">
        <v>21</v>
      </c>
      <c r="D113" s="1">
        <v>30</v>
      </c>
      <c r="E113" s="1">
        <f>+D113-C113</f>
        <v>9</v>
      </c>
      <c r="F113" s="24"/>
      <c r="G113" s="24"/>
    </row>
    <row r="115" spans="1:13">
      <c r="B115" s="25" t="s">
        <v>263</v>
      </c>
      <c r="D115" s="26">
        <f>+D110+D112</f>
        <v>1122</v>
      </c>
      <c r="E115" s="1" t="s">
        <v>264</v>
      </c>
      <c r="H115" s="1" t="s">
        <v>268</v>
      </c>
      <c r="I115" s="1">
        <f>+D115+40</f>
        <v>1162</v>
      </c>
    </row>
    <row r="117" spans="1:13">
      <c r="E117" s="1" t="s">
        <v>229</v>
      </c>
      <c r="F117" s="1">
        <f>+D115/F109</f>
        <v>2805</v>
      </c>
      <c r="I117" s="1">
        <f>+I115/0.42</f>
        <v>2766.666666666667</v>
      </c>
    </row>
    <row r="118" spans="1:13">
      <c r="E118" s="25" t="s">
        <v>269</v>
      </c>
      <c r="F118" s="34">
        <f>+F117/D108</f>
        <v>0.97395833333333337</v>
      </c>
      <c r="G118" s="25"/>
      <c r="H118" s="25"/>
      <c r="I118" s="34">
        <f>+I117/I108</f>
        <v>0.87331649831649827</v>
      </c>
    </row>
    <row r="120" spans="1:13">
      <c r="I120" s="1" t="s">
        <v>270</v>
      </c>
    </row>
    <row r="121" spans="1:13">
      <c r="A121" s="1" t="s">
        <v>271</v>
      </c>
    </row>
    <row r="122" spans="1:13">
      <c r="B122" s="1" t="s">
        <v>291</v>
      </c>
    </row>
    <row r="123" spans="1:13">
      <c r="B123" s="36" t="s">
        <v>120</v>
      </c>
      <c r="C123" s="36" t="s">
        <v>272</v>
      </c>
      <c r="D123" s="36"/>
      <c r="E123" s="36"/>
      <c r="F123" s="36"/>
      <c r="G123" s="36"/>
      <c r="H123" s="36"/>
      <c r="I123" s="36"/>
      <c r="J123" s="36"/>
      <c r="K123" s="36"/>
      <c r="L123" s="36"/>
      <c r="M123" s="36"/>
    </row>
    <row r="124" spans="1:13">
      <c r="B124" s="36"/>
      <c r="C124" s="36"/>
      <c r="D124" s="36"/>
      <c r="E124" s="36"/>
      <c r="F124" s="36"/>
      <c r="G124" s="36"/>
      <c r="H124" s="36"/>
      <c r="I124" s="36"/>
      <c r="J124" s="36"/>
      <c r="K124" s="36"/>
      <c r="L124" s="36"/>
      <c r="M124" s="36"/>
    </row>
    <row r="125" spans="1:13">
      <c r="B125" s="36"/>
      <c r="C125" s="36" t="s">
        <v>273</v>
      </c>
      <c r="D125" s="36"/>
      <c r="E125" s="36"/>
      <c r="F125" s="36"/>
      <c r="G125" s="36"/>
      <c r="H125" s="36"/>
      <c r="I125" s="36" t="s">
        <v>274</v>
      </c>
      <c r="J125" s="36"/>
      <c r="K125" s="36"/>
      <c r="L125" s="36" t="s">
        <v>275</v>
      </c>
      <c r="M125" s="36"/>
    </row>
    <row r="126" spans="1:13">
      <c r="B126" s="36"/>
      <c r="C126" s="36"/>
      <c r="D126" s="36"/>
      <c r="E126" s="36"/>
      <c r="F126" s="36"/>
      <c r="G126" s="36"/>
      <c r="H126" s="36"/>
      <c r="I126" s="36"/>
      <c r="J126" s="36"/>
      <c r="K126" s="36"/>
      <c r="L126" s="36"/>
      <c r="M126" s="36"/>
    </row>
    <row r="127" spans="1:13">
      <c r="B127" s="36"/>
      <c r="C127" s="36" t="s">
        <v>276</v>
      </c>
      <c r="D127" s="36" t="s">
        <v>277</v>
      </c>
      <c r="E127" s="36"/>
      <c r="F127" s="36" t="s">
        <v>37</v>
      </c>
      <c r="G127" s="36"/>
      <c r="H127" s="36"/>
      <c r="I127" s="36"/>
      <c r="J127" s="36"/>
      <c r="K127" s="36"/>
      <c r="L127" s="36"/>
      <c r="M127" s="36"/>
    </row>
    <row r="128" spans="1:13">
      <c r="B128" s="36"/>
      <c r="C128" s="36">
        <v>50000</v>
      </c>
      <c r="D128" s="37">
        <v>1200</v>
      </c>
      <c r="E128" s="36"/>
      <c r="F128" s="36">
        <f>+C128*D128/10000</f>
        <v>6000</v>
      </c>
      <c r="G128" s="36"/>
      <c r="H128" s="36"/>
      <c r="I128" s="36"/>
      <c r="J128" s="36"/>
      <c r="K128" s="36"/>
      <c r="L128" s="36"/>
      <c r="M128" s="36"/>
    </row>
    <row r="129" spans="2:13">
      <c r="B129" s="36"/>
      <c r="C129" s="36"/>
      <c r="D129" s="36"/>
      <c r="E129" s="36"/>
      <c r="F129" s="36"/>
      <c r="G129" s="36"/>
      <c r="H129" s="36"/>
      <c r="I129" s="36"/>
      <c r="J129" s="36"/>
      <c r="K129" s="36"/>
      <c r="L129" s="36"/>
      <c r="M129" s="36"/>
    </row>
    <row r="130" spans="2:13">
      <c r="B130" s="36"/>
      <c r="C130" s="36"/>
      <c r="D130" s="36"/>
      <c r="E130" s="36"/>
      <c r="F130" s="36"/>
      <c r="G130" s="36"/>
      <c r="H130" s="36"/>
      <c r="I130" s="36"/>
      <c r="J130" s="36"/>
      <c r="K130" s="36"/>
      <c r="L130" s="36"/>
      <c r="M130" s="36"/>
    </row>
    <row r="131" spans="2:13">
      <c r="B131" s="36"/>
      <c r="C131" s="36" t="s">
        <v>278</v>
      </c>
      <c r="D131" s="37">
        <f>+E131/C128*10000</f>
        <v>360</v>
      </c>
      <c r="E131" s="36">
        <f>+F133*0.6</f>
        <v>1800</v>
      </c>
      <c r="F131" s="36"/>
      <c r="G131" s="36"/>
      <c r="H131" s="36"/>
      <c r="I131" s="36"/>
      <c r="J131" s="36"/>
      <c r="K131" s="36"/>
      <c r="L131" s="36"/>
      <c r="M131" s="36"/>
    </row>
    <row r="132" spans="2:13">
      <c r="B132" s="36"/>
      <c r="C132" s="36" t="s">
        <v>279</v>
      </c>
      <c r="D132" s="37">
        <f>+D128-D131</f>
        <v>840</v>
      </c>
      <c r="E132" s="36"/>
      <c r="F132" s="36"/>
      <c r="G132" s="36"/>
      <c r="H132" s="36"/>
      <c r="I132" s="36"/>
      <c r="J132" s="36"/>
      <c r="K132" s="36"/>
      <c r="L132" s="36"/>
      <c r="M132" s="36"/>
    </row>
    <row r="133" spans="2:13">
      <c r="B133" s="36"/>
      <c r="C133" s="36" t="s">
        <v>280</v>
      </c>
      <c r="D133" s="38"/>
      <c r="E133" s="39">
        <f>+F133*0.4</f>
        <v>1200</v>
      </c>
      <c r="F133" s="38">
        <v>3000</v>
      </c>
      <c r="G133" s="36"/>
      <c r="H133" s="36"/>
      <c r="I133" s="36">
        <v>1200</v>
      </c>
      <c r="J133" s="36"/>
      <c r="K133" s="36"/>
      <c r="L133" s="40">
        <f>ROUNDUP(I135/D132*10000,0)</f>
        <v>32143</v>
      </c>
      <c r="M133" s="36" t="s">
        <v>281</v>
      </c>
    </row>
    <row r="134" spans="2:13">
      <c r="B134" s="36"/>
      <c r="C134" s="41" t="s">
        <v>282</v>
      </c>
      <c r="D134" s="42"/>
      <c r="E134" s="43"/>
      <c r="F134" s="42"/>
      <c r="G134" s="36"/>
      <c r="H134" s="36"/>
      <c r="I134" s="36">
        <v>1500</v>
      </c>
      <c r="J134" s="36"/>
      <c r="K134" s="36"/>
      <c r="L134" s="36"/>
      <c r="M134" s="36"/>
    </row>
    <row r="135" spans="2:13" ht="16.8" thickBot="1">
      <c r="B135" s="36"/>
      <c r="C135" s="36" t="s">
        <v>23</v>
      </c>
      <c r="D135" s="36"/>
      <c r="E135" s="36"/>
      <c r="F135" s="36">
        <f>+F128-F133</f>
        <v>3000</v>
      </c>
      <c r="G135" s="36"/>
      <c r="H135" s="36"/>
      <c r="I135" s="44">
        <f>+SUM(I133:I134)</f>
        <v>2700</v>
      </c>
      <c r="J135" s="36"/>
      <c r="K135" s="36"/>
      <c r="L135" s="36"/>
      <c r="M135" s="36"/>
    </row>
    <row r="136" spans="2:13" ht="16.8" thickTop="1">
      <c r="B136" s="36"/>
      <c r="C136" s="36"/>
      <c r="D136" s="36"/>
      <c r="E136" s="36"/>
      <c r="F136" s="36"/>
      <c r="G136" s="36"/>
      <c r="H136" s="36"/>
      <c r="I136" s="36"/>
      <c r="J136" s="36"/>
      <c r="K136" s="36"/>
      <c r="L136" s="36"/>
      <c r="M136" s="36"/>
    </row>
    <row r="137" spans="2:13">
      <c r="B137" s="36"/>
      <c r="C137" s="36"/>
      <c r="D137" s="36"/>
      <c r="E137" s="36"/>
      <c r="F137" s="36"/>
      <c r="G137" s="36"/>
      <c r="H137" s="36"/>
      <c r="I137" s="36"/>
      <c r="J137" s="36"/>
      <c r="K137" s="36"/>
      <c r="L137" s="36"/>
      <c r="M137" s="36"/>
    </row>
    <row r="138" spans="2:13">
      <c r="B138" s="36" t="s">
        <v>283</v>
      </c>
      <c r="C138" s="36" t="s">
        <v>284</v>
      </c>
      <c r="D138" s="36"/>
      <c r="E138" s="36"/>
      <c r="F138" s="36"/>
      <c r="G138" s="36"/>
      <c r="H138" s="36"/>
      <c r="I138" s="36"/>
      <c r="J138" s="36"/>
      <c r="K138" s="36"/>
      <c r="L138" s="36"/>
      <c r="M138" s="36"/>
    </row>
    <row r="139" spans="2:13">
      <c r="B139" s="36"/>
      <c r="C139" s="36"/>
      <c r="D139" s="36"/>
      <c r="E139" s="36"/>
      <c r="F139" s="36"/>
      <c r="G139" s="36"/>
      <c r="H139" s="36"/>
      <c r="I139" s="36"/>
      <c r="J139" s="36"/>
      <c r="K139" s="36"/>
      <c r="L139" s="36"/>
      <c r="M139" s="36"/>
    </row>
    <row r="140" spans="2:13">
      <c r="B140" s="36"/>
      <c r="C140" s="36" t="s">
        <v>285</v>
      </c>
      <c r="D140" s="36"/>
      <c r="E140" s="36"/>
      <c r="F140" s="36"/>
      <c r="G140" s="36"/>
      <c r="H140" s="36"/>
      <c r="I140" s="36"/>
      <c r="J140" s="36"/>
      <c r="K140" s="36"/>
      <c r="L140" s="36"/>
      <c r="M140" s="36"/>
    </row>
    <row r="141" spans="2:13">
      <c r="B141" s="36"/>
      <c r="C141" s="36" t="s">
        <v>286</v>
      </c>
      <c r="D141" s="36"/>
      <c r="E141" s="36"/>
      <c r="F141" s="36"/>
      <c r="G141" s="36"/>
      <c r="H141" s="36"/>
      <c r="I141" s="36" t="s">
        <v>274</v>
      </c>
      <c r="J141" s="36"/>
      <c r="K141" s="36"/>
      <c r="L141" s="36" t="s">
        <v>275</v>
      </c>
      <c r="M141" s="36"/>
    </row>
    <row r="142" spans="2:13">
      <c r="B142" s="36"/>
      <c r="C142" s="36" t="s">
        <v>287</v>
      </c>
      <c r="D142" s="36"/>
      <c r="E142" s="36"/>
      <c r="F142" s="36"/>
      <c r="G142" s="36"/>
      <c r="H142" s="36"/>
      <c r="I142" s="36"/>
      <c r="J142" s="36"/>
      <c r="K142" s="36"/>
      <c r="L142" s="36"/>
      <c r="M142" s="36"/>
    </row>
    <row r="143" spans="2:13">
      <c r="B143" s="36"/>
      <c r="C143" s="36"/>
      <c r="D143" s="36"/>
      <c r="E143" s="36"/>
      <c r="F143" s="36"/>
      <c r="G143" s="36"/>
      <c r="H143" s="36"/>
      <c r="I143" s="36"/>
      <c r="J143" s="36"/>
      <c r="K143" s="36"/>
      <c r="L143" s="36"/>
      <c r="M143" s="36"/>
    </row>
    <row r="144" spans="2:13">
      <c r="B144" s="36"/>
      <c r="C144" s="36" t="s">
        <v>288</v>
      </c>
      <c r="D144" s="36"/>
      <c r="E144" s="36">
        <v>30000</v>
      </c>
      <c r="F144" s="36"/>
      <c r="G144" s="36">
        <v>40000</v>
      </c>
      <c r="H144" s="36"/>
      <c r="I144" s="36"/>
      <c r="J144" s="36"/>
      <c r="K144" s="36"/>
      <c r="L144" s="36"/>
      <c r="M144" s="36"/>
    </row>
    <row r="145" spans="2:13">
      <c r="B145" s="36"/>
      <c r="C145" s="36" t="s">
        <v>289</v>
      </c>
      <c r="D145" s="37">
        <v>1240</v>
      </c>
      <c r="E145" s="36"/>
      <c r="F145" s="37">
        <v>1060</v>
      </c>
      <c r="G145" s="36"/>
      <c r="H145" s="36"/>
      <c r="I145" s="36"/>
      <c r="J145" s="36"/>
      <c r="K145" s="36"/>
      <c r="L145" s="36"/>
      <c r="M145" s="36"/>
    </row>
    <row r="146" spans="2:13">
      <c r="B146" s="36"/>
      <c r="C146" s="42" t="s">
        <v>37</v>
      </c>
      <c r="D146" s="42"/>
      <c r="E146" s="42">
        <f>+E144*D145/10000</f>
        <v>3720</v>
      </c>
      <c r="F146" s="42"/>
      <c r="G146" s="42">
        <f>+G144*F145/10000</f>
        <v>4240</v>
      </c>
      <c r="H146" s="36"/>
      <c r="I146" s="36"/>
      <c r="J146" s="36"/>
      <c r="K146" s="36"/>
      <c r="L146" s="36"/>
      <c r="M146" s="36"/>
    </row>
    <row r="147" spans="2:13">
      <c r="B147" s="36"/>
      <c r="C147" s="36" t="s">
        <v>278</v>
      </c>
      <c r="D147" s="36"/>
      <c r="E147" s="36">
        <f>+E144*D131/10000</f>
        <v>1080</v>
      </c>
      <c r="F147" s="36"/>
      <c r="G147" s="36">
        <f>+G144*D131/10000</f>
        <v>1440</v>
      </c>
      <c r="H147" s="36"/>
      <c r="I147" s="36"/>
      <c r="J147" s="36"/>
      <c r="K147" s="36"/>
      <c r="L147" s="36"/>
      <c r="M147" s="36"/>
    </row>
    <row r="148" spans="2:13">
      <c r="B148" s="36"/>
      <c r="C148" s="36" t="s">
        <v>279</v>
      </c>
      <c r="D148" s="36">
        <f>+D145-D131</f>
        <v>880</v>
      </c>
      <c r="E148" s="36"/>
      <c r="F148" s="37">
        <f>+F145-D131</f>
        <v>700</v>
      </c>
      <c r="G148" s="36"/>
      <c r="H148" s="36"/>
      <c r="I148" s="36"/>
      <c r="J148" s="36"/>
      <c r="K148" s="36"/>
      <c r="L148" s="36"/>
      <c r="M148" s="36"/>
    </row>
    <row r="149" spans="2:13">
      <c r="B149" s="36"/>
      <c r="C149" s="36" t="s">
        <v>280</v>
      </c>
      <c r="D149" s="36"/>
      <c r="E149" s="36">
        <f>+E133</f>
        <v>1200</v>
      </c>
      <c r="F149" s="36"/>
      <c r="G149" s="36">
        <f>+E133</f>
        <v>1200</v>
      </c>
      <c r="H149" s="36"/>
      <c r="I149" s="36">
        <v>1200</v>
      </c>
      <c r="J149" s="36"/>
      <c r="K149" s="36"/>
      <c r="L149" s="36"/>
      <c r="M149" s="36"/>
    </row>
    <row r="150" spans="2:13">
      <c r="B150" s="36"/>
      <c r="C150" s="36" t="s">
        <v>282</v>
      </c>
      <c r="D150" s="36"/>
      <c r="E150" s="36"/>
      <c r="F150" s="36"/>
      <c r="G150" s="36"/>
      <c r="H150" s="36"/>
      <c r="I150" s="36">
        <v>1500</v>
      </c>
      <c r="J150" s="36"/>
      <c r="K150" s="36"/>
      <c r="L150" s="45">
        <f>ROUNDUP(I151/F148*10000,0)</f>
        <v>38572</v>
      </c>
      <c r="M150" s="36" t="s">
        <v>281</v>
      </c>
    </row>
    <row r="151" spans="2:13" ht="16.8" thickBot="1">
      <c r="B151" s="36"/>
      <c r="C151" s="46" t="s">
        <v>23</v>
      </c>
      <c r="D151" s="46"/>
      <c r="E151" s="44">
        <f>+E146-SUM(E147:E149)</f>
        <v>1440</v>
      </c>
      <c r="F151" s="46"/>
      <c r="G151" s="44">
        <f>+G146-SUM(G147:G149)</f>
        <v>1600</v>
      </c>
      <c r="H151" s="36"/>
      <c r="I151" s="44">
        <f>+SUM(I149:I150)</f>
        <v>2700</v>
      </c>
      <c r="J151" s="36"/>
      <c r="K151" s="36"/>
      <c r="L151" s="36"/>
      <c r="M151" s="36"/>
    </row>
    <row r="152" spans="2:13" ht="16.8" thickTop="1">
      <c r="B152" s="36"/>
      <c r="C152" s="36"/>
      <c r="D152" s="36"/>
      <c r="E152" s="47" t="s">
        <v>290</v>
      </c>
      <c r="F152" s="47"/>
      <c r="G152" s="47"/>
      <c r="H152" s="36"/>
      <c r="I152" s="36"/>
      <c r="J152" s="36"/>
      <c r="K152" s="36"/>
      <c r="L152" s="36"/>
      <c r="M152" s="36"/>
    </row>
    <row r="153" spans="2:13">
      <c r="B153" s="36"/>
      <c r="C153" s="36"/>
      <c r="D153" s="36"/>
      <c r="E153" s="36"/>
      <c r="F153" s="36"/>
      <c r="G153" s="36"/>
      <c r="H153" s="36"/>
      <c r="I153" s="36"/>
      <c r="J153" s="36"/>
      <c r="K153" s="36"/>
      <c r="L153" s="36"/>
      <c r="M153" s="36"/>
    </row>
    <row r="154" spans="2:13">
      <c r="B154" s="36"/>
      <c r="C154" s="36"/>
      <c r="D154" s="36"/>
      <c r="E154" s="36"/>
      <c r="F154" s="36"/>
      <c r="G154" s="36"/>
      <c r="H154" s="36"/>
      <c r="I154" s="36"/>
      <c r="J154" s="36"/>
      <c r="K154" s="36"/>
      <c r="L154" s="36"/>
      <c r="M154" s="36"/>
    </row>
    <row r="198" ht="16.8" customHeight="1"/>
    <row r="234" ht="16.8" customHeight="1"/>
    <row r="257" ht="16.8" customHeight="1"/>
  </sheetData>
  <phoneticPr fontId="2"/>
  <conditionalFormatting sqref="A1:XFD1048576">
    <cfRule type="expression" dxfId="5" priority="1">
      <formula>+_xlfn.ISFORMULA(A1)</formula>
    </cfRule>
  </conditionalFormatting>
  <pageMargins left="0.25" right="0.25" top="0.75" bottom="0.75" header="0.3" footer="0.3"/>
  <pageSetup paperSize="9" scale="66" fitToHeight="0"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491A5-BADF-436B-BE7A-136AC589712E}">
  <sheetPr>
    <pageSetUpPr fitToPage="1"/>
  </sheetPr>
  <dimension ref="A1:L203"/>
  <sheetViews>
    <sheetView zoomScale="85" zoomScaleNormal="85" workbookViewId="0">
      <selection activeCell="E21" sqref="E21"/>
    </sheetView>
  </sheetViews>
  <sheetFormatPr defaultColWidth="13.6640625" defaultRowHeight="16.2"/>
  <cols>
    <col min="1" max="16384" width="13.6640625" style="35"/>
  </cols>
  <sheetData>
    <row r="1" spans="1:7">
      <c r="A1" s="35" t="s">
        <v>541</v>
      </c>
    </row>
    <row r="3" spans="1:7">
      <c r="A3" s="35" t="s">
        <v>174</v>
      </c>
      <c r="B3" s="35" t="s">
        <v>553</v>
      </c>
    </row>
    <row r="5" spans="1:7">
      <c r="C5" s="35" t="s">
        <v>548</v>
      </c>
      <c r="D5" s="35" t="s">
        <v>549</v>
      </c>
      <c r="E5" s="35" t="s">
        <v>550</v>
      </c>
      <c r="F5" s="35" t="s">
        <v>68</v>
      </c>
    </row>
    <row r="6" spans="1:7">
      <c r="B6" s="35" t="s">
        <v>37</v>
      </c>
      <c r="C6" s="35">
        <v>2000</v>
      </c>
      <c r="D6" s="35">
        <v>3200</v>
      </c>
      <c r="E6" s="35">
        <v>4000</v>
      </c>
      <c r="F6" s="35">
        <f>+SUM(C6:E6)</f>
        <v>9200</v>
      </c>
    </row>
    <row r="7" spans="1:7">
      <c r="B7" s="50" t="s">
        <v>543</v>
      </c>
      <c r="C7" s="50">
        <v>1080</v>
      </c>
      <c r="D7" s="50">
        <v>1900</v>
      </c>
      <c r="E7" s="50">
        <v>2900</v>
      </c>
      <c r="F7" s="50">
        <f>+SUM(C7:E7)</f>
        <v>5880</v>
      </c>
    </row>
    <row r="8" spans="1:7">
      <c r="B8" s="35" t="s">
        <v>542</v>
      </c>
      <c r="C8" s="35">
        <f>+C6-C7</f>
        <v>920</v>
      </c>
      <c r="D8" s="35">
        <f t="shared" ref="D8:F12" si="0">+D6-D7</f>
        <v>1300</v>
      </c>
      <c r="E8" s="35">
        <f t="shared" si="0"/>
        <v>1100</v>
      </c>
      <c r="F8" s="35">
        <f t="shared" si="0"/>
        <v>3320</v>
      </c>
      <c r="G8" s="35" t="s">
        <v>551</v>
      </c>
    </row>
    <row r="9" spans="1:7" ht="16.8" thickBot="1">
      <c r="B9" s="35" t="s">
        <v>544</v>
      </c>
      <c r="C9" s="35">
        <v>540</v>
      </c>
      <c r="D9" s="35">
        <v>1180</v>
      </c>
      <c r="E9" s="35">
        <v>900</v>
      </c>
      <c r="F9" s="35">
        <f>+F7-F8</f>
        <v>2560</v>
      </c>
    </row>
    <row r="10" spans="1:7" ht="16.8" thickBot="1">
      <c r="B10" s="249" t="s">
        <v>545</v>
      </c>
      <c r="C10" s="250">
        <f>+C8-C9</f>
        <v>380</v>
      </c>
      <c r="D10" s="250">
        <f t="shared" ref="D10:E10" si="1">+D8-D9</f>
        <v>120</v>
      </c>
      <c r="E10" s="250">
        <f t="shared" si="1"/>
        <v>200</v>
      </c>
      <c r="F10" s="251">
        <f>+F8-F9</f>
        <v>760</v>
      </c>
      <c r="G10" s="35" t="s">
        <v>552</v>
      </c>
    </row>
    <row r="11" spans="1:7">
      <c r="B11" s="35" t="s">
        <v>546</v>
      </c>
      <c r="C11" s="35">
        <v>280</v>
      </c>
      <c r="D11" s="35">
        <v>240</v>
      </c>
      <c r="E11" s="35">
        <v>120</v>
      </c>
      <c r="F11" s="35">
        <f t="shared" si="0"/>
        <v>1800</v>
      </c>
    </row>
    <row r="12" spans="1:7" ht="16.8" thickBot="1">
      <c r="B12" s="54" t="s">
        <v>547</v>
      </c>
      <c r="C12" s="54">
        <f>+C10-C11</f>
        <v>100</v>
      </c>
      <c r="D12" s="54">
        <f t="shared" ref="D12:E12" si="2">+D10-D11</f>
        <v>-120</v>
      </c>
      <c r="E12" s="54">
        <f t="shared" si="2"/>
        <v>80</v>
      </c>
      <c r="F12" s="54">
        <f t="shared" si="0"/>
        <v>-1040</v>
      </c>
    </row>
    <row r="13" spans="1:7" ht="16.8" thickTop="1"/>
    <row r="15" spans="1:7">
      <c r="A15" s="35" t="s">
        <v>187</v>
      </c>
    </row>
    <row r="16" spans="1:7">
      <c r="B16" s="35" t="s">
        <v>554</v>
      </c>
    </row>
    <row r="17" spans="1:6">
      <c r="C17" s="35" t="s">
        <v>560</v>
      </c>
      <c r="D17" s="35" t="s">
        <v>561</v>
      </c>
      <c r="E17" s="35" t="s">
        <v>562</v>
      </c>
      <c r="F17" s="35" t="s">
        <v>68</v>
      </c>
    </row>
    <row r="18" spans="1:6">
      <c r="B18" s="35" t="s">
        <v>37</v>
      </c>
      <c r="C18" s="35">
        <v>50000</v>
      </c>
      <c r="D18" s="35">
        <v>35000</v>
      </c>
      <c r="E18" s="35">
        <v>40000</v>
      </c>
      <c r="F18" s="35">
        <f>+SUM(C18:E18)</f>
        <v>125000</v>
      </c>
    </row>
    <row r="19" spans="1:6">
      <c r="B19" s="35" t="s">
        <v>555</v>
      </c>
      <c r="C19" s="35">
        <v>24000</v>
      </c>
      <c r="D19" s="35">
        <v>14000</v>
      </c>
      <c r="E19" s="35">
        <v>16000</v>
      </c>
      <c r="F19" s="35">
        <f t="shared" ref="F19" si="3">+SUM(C19:E19)</f>
        <v>54000</v>
      </c>
    </row>
    <row r="20" spans="1:6">
      <c r="B20" s="50" t="s">
        <v>556</v>
      </c>
      <c r="C20" s="50">
        <v>20000</v>
      </c>
      <c r="D20" s="50">
        <v>14000</v>
      </c>
      <c r="E20" s="50">
        <v>16000</v>
      </c>
      <c r="F20" s="50">
        <f>+SUM(C20:E20)</f>
        <v>50000</v>
      </c>
    </row>
    <row r="21" spans="1:6">
      <c r="B21" s="35" t="s">
        <v>542</v>
      </c>
      <c r="C21" s="35">
        <f>+C18-SUM(C19:C20)</f>
        <v>6000</v>
      </c>
      <c r="D21" s="35">
        <f t="shared" ref="D21:F21" si="4">+D18-SUM(D19:D20)</f>
        <v>7000</v>
      </c>
      <c r="E21" s="35">
        <f t="shared" si="4"/>
        <v>8000</v>
      </c>
      <c r="F21" s="35">
        <f t="shared" si="4"/>
        <v>21000</v>
      </c>
    </row>
    <row r="22" spans="1:6" ht="16.8" thickBot="1">
      <c r="B22" s="35" t="s">
        <v>557</v>
      </c>
      <c r="C22" s="35">
        <v>6600</v>
      </c>
      <c r="D22" s="35">
        <v>6250</v>
      </c>
      <c r="E22" s="35">
        <v>4750</v>
      </c>
      <c r="F22" s="35">
        <f>+SUM(C22:E22)</f>
        <v>17600</v>
      </c>
    </row>
    <row r="23" spans="1:6" ht="16.8" thickBot="1">
      <c r="B23" s="249" t="s">
        <v>545</v>
      </c>
      <c r="C23" s="250">
        <f>+C21-C22</f>
        <v>-600</v>
      </c>
      <c r="D23" s="250">
        <f t="shared" ref="D23" si="5">+D21-D22</f>
        <v>750</v>
      </c>
      <c r="E23" s="250">
        <f t="shared" ref="E23" si="6">+E21-E22</f>
        <v>3250</v>
      </c>
      <c r="F23" s="251">
        <f t="shared" ref="F23" si="7">+F21-F22</f>
        <v>3400</v>
      </c>
    </row>
    <row r="24" spans="1:6">
      <c r="B24" s="35" t="s">
        <v>546</v>
      </c>
    </row>
    <row r="25" spans="1:6" ht="16.8" thickBot="1">
      <c r="B25" s="54" t="s">
        <v>179</v>
      </c>
      <c r="C25" s="54"/>
      <c r="D25" s="54"/>
      <c r="E25" s="54"/>
      <c r="F25" s="54"/>
    </row>
    <row r="26" spans="1:6" ht="16.8" thickTop="1"/>
    <row r="27" spans="1:6">
      <c r="A27" s="35" t="s">
        <v>120</v>
      </c>
      <c r="B27" s="35" t="s">
        <v>182</v>
      </c>
      <c r="C27" s="252">
        <f>+C21/C18</f>
        <v>0.12</v>
      </c>
      <c r="D27" s="252">
        <f t="shared" ref="D27:F27" si="8">+D21/D18</f>
        <v>0.2</v>
      </c>
      <c r="E27" s="252">
        <f t="shared" si="8"/>
        <v>0.2</v>
      </c>
      <c r="F27" s="252">
        <f t="shared" si="8"/>
        <v>0.16800000000000001</v>
      </c>
    </row>
    <row r="28" spans="1:6">
      <c r="B28" s="35" t="s">
        <v>558</v>
      </c>
      <c r="C28" s="253">
        <f>+C23/C18</f>
        <v>-1.2E-2</v>
      </c>
      <c r="D28" s="253">
        <f t="shared" ref="D28:F28" si="9">+D23/D18</f>
        <v>2.1428571428571429E-2</v>
      </c>
      <c r="E28" s="253">
        <f t="shared" si="9"/>
        <v>8.1250000000000003E-2</v>
      </c>
      <c r="F28" s="253">
        <f t="shared" si="9"/>
        <v>2.7199999999999998E-2</v>
      </c>
    </row>
    <row r="30" spans="1:6">
      <c r="A30" s="35" t="s">
        <v>283</v>
      </c>
      <c r="B30" s="35" t="s">
        <v>559</v>
      </c>
    </row>
    <row r="33" spans="1:6">
      <c r="A33" s="35" t="s">
        <v>188</v>
      </c>
    </row>
    <row r="34" spans="1:6">
      <c r="B34" s="35" t="s">
        <v>563</v>
      </c>
    </row>
    <row r="36" spans="1:6">
      <c r="C36" s="35" t="s">
        <v>564</v>
      </c>
      <c r="D36" s="35" t="s">
        <v>565</v>
      </c>
      <c r="E36" s="35" t="s">
        <v>566</v>
      </c>
      <c r="F36" s="35" t="s">
        <v>68</v>
      </c>
    </row>
    <row r="37" spans="1:6">
      <c r="B37" s="35" t="s">
        <v>37</v>
      </c>
      <c r="C37" s="35">
        <v>700</v>
      </c>
      <c r="D37" s="35">
        <v>900</v>
      </c>
      <c r="E37" s="35">
        <v>1200</v>
      </c>
      <c r="F37" s="35">
        <f>+SUM(C37:E37)</f>
        <v>2800</v>
      </c>
    </row>
    <row r="38" spans="1:6">
      <c r="B38" s="50" t="s">
        <v>543</v>
      </c>
      <c r="C38" s="50">
        <v>250</v>
      </c>
      <c r="D38" s="50">
        <v>400</v>
      </c>
      <c r="E38" s="50">
        <v>560</v>
      </c>
      <c r="F38" s="50">
        <f>+SUM(C38:E38)</f>
        <v>1210</v>
      </c>
    </row>
    <row r="39" spans="1:6">
      <c r="B39" s="35" t="s">
        <v>542</v>
      </c>
      <c r="C39" s="35">
        <f>+C37-SUM(C38:C38)</f>
        <v>450</v>
      </c>
      <c r="D39" s="35">
        <f>+D37-SUM(D38:D38)</f>
        <v>500</v>
      </c>
      <c r="E39" s="35">
        <f>+E37-SUM(E38:E38)</f>
        <v>640</v>
      </c>
      <c r="F39" s="35">
        <f>+F37-SUM(F38:F38)</f>
        <v>1590</v>
      </c>
    </row>
    <row r="40" spans="1:6" ht="16.8" thickBot="1">
      <c r="B40" s="35" t="s">
        <v>544</v>
      </c>
      <c r="C40" s="35">
        <v>200</v>
      </c>
      <c r="D40" s="35">
        <v>300</v>
      </c>
      <c r="E40" s="35">
        <v>400</v>
      </c>
      <c r="F40" s="35">
        <f>+SUM(C40:E40)</f>
        <v>900</v>
      </c>
    </row>
    <row r="41" spans="1:6" ht="16.8" thickBot="1">
      <c r="B41" s="249" t="s">
        <v>545</v>
      </c>
      <c r="C41" s="250">
        <f>+C39-C40</f>
        <v>250</v>
      </c>
      <c r="D41" s="250">
        <f t="shared" ref="D41" si="10">+D39-D40</f>
        <v>200</v>
      </c>
      <c r="E41" s="250">
        <f t="shared" ref="E41" si="11">+E39-E40</f>
        <v>240</v>
      </c>
      <c r="F41" s="251">
        <f t="shared" ref="F41" si="12">+F39-F40</f>
        <v>690</v>
      </c>
    </row>
    <row r="42" spans="1:6">
      <c r="B42" s="35" t="s">
        <v>546</v>
      </c>
      <c r="C42" s="35">
        <v>175</v>
      </c>
      <c r="D42" s="35">
        <v>175</v>
      </c>
      <c r="E42" s="35">
        <v>280</v>
      </c>
      <c r="F42" s="35">
        <v>280</v>
      </c>
    </row>
    <row r="43" spans="1:6" ht="16.8" thickBot="1">
      <c r="B43" s="54" t="s">
        <v>179</v>
      </c>
      <c r="C43" s="54">
        <f>+C41-C42</f>
        <v>75</v>
      </c>
      <c r="D43" s="54">
        <f t="shared" ref="D43:F43" si="13">+D41-D42</f>
        <v>25</v>
      </c>
      <c r="E43" s="54">
        <f t="shared" si="13"/>
        <v>-40</v>
      </c>
      <c r="F43" s="54">
        <f t="shared" si="13"/>
        <v>410</v>
      </c>
    </row>
    <row r="44" spans="1:6" ht="16.8" thickTop="1"/>
    <row r="45" spans="1:6">
      <c r="B45" s="35" t="s">
        <v>567</v>
      </c>
    </row>
    <row r="47" spans="1:6">
      <c r="A47" s="35" t="s">
        <v>345</v>
      </c>
      <c r="B47" s="35" t="s">
        <v>568</v>
      </c>
      <c r="C47" s="35" t="s">
        <v>573</v>
      </c>
    </row>
    <row r="49" spans="1:5">
      <c r="C49" s="35" t="s">
        <v>569</v>
      </c>
      <c r="D49" s="35" t="s">
        <v>570</v>
      </c>
    </row>
    <row r="50" spans="1:5">
      <c r="B50" s="35" t="s">
        <v>37</v>
      </c>
      <c r="C50" s="35">
        <v>1000</v>
      </c>
      <c r="D50" s="35">
        <v>1000</v>
      </c>
    </row>
    <row r="51" spans="1:5">
      <c r="B51" s="35" t="s">
        <v>543</v>
      </c>
      <c r="C51" s="50">
        <v>400</v>
      </c>
      <c r="D51" s="50">
        <v>200</v>
      </c>
    </row>
    <row r="52" spans="1:5">
      <c r="B52" s="35" t="s">
        <v>177</v>
      </c>
      <c r="C52" s="35">
        <f>+C50-C51</f>
        <v>600</v>
      </c>
      <c r="D52" s="35">
        <f t="shared" ref="D52" si="14">+D50-D51</f>
        <v>800</v>
      </c>
    </row>
    <row r="53" spans="1:5">
      <c r="B53" s="35" t="s">
        <v>571</v>
      </c>
      <c r="C53" s="35">
        <v>200</v>
      </c>
      <c r="D53" s="35">
        <v>400</v>
      </c>
    </row>
    <row r="54" spans="1:5" ht="16.8" thickBot="1">
      <c r="B54" s="35" t="s">
        <v>179</v>
      </c>
      <c r="C54" s="54">
        <f>+C52-C53</f>
        <v>400</v>
      </c>
      <c r="D54" s="54">
        <f t="shared" ref="D54" si="15">+D52-D53</f>
        <v>400</v>
      </c>
    </row>
    <row r="55" spans="1:5" ht="16.8" thickTop="1"/>
    <row r="56" spans="1:5">
      <c r="B56" s="35" t="s">
        <v>568</v>
      </c>
      <c r="C56" s="254">
        <f>+C52/C54</f>
        <v>1.5</v>
      </c>
      <c r="D56" s="254">
        <f>+D52/D54</f>
        <v>2</v>
      </c>
      <c r="E56" s="255" t="s">
        <v>572</v>
      </c>
    </row>
    <row r="58" spans="1:5">
      <c r="A58" s="35" t="s">
        <v>357</v>
      </c>
      <c r="B58" s="35" t="s">
        <v>568</v>
      </c>
    </row>
    <row r="59" spans="1:5">
      <c r="C59" s="35" t="s">
        <v>153</v>
      </c>
      <c r="D59" s="35" t="s">
        <v>154</v>
      </c>
    </row>
    <row r="60" spans="1:5">
      <c r="B60" s="35" t="s">
        <v>37</v>
      </c>
      <c r="C60" s="35">
        <v>2400</v>
      </c>
      <c r="D60" s="35">
        <v>2400</v>
      </c>
    </row>
    <row r="61" spans="1:5">
      <c r="B61" s="35" t="s">
        <v>543</v>
      </c>
      <c r="C61" s="50">
        <f>+C60*0.4</f>
        <v>960</v>
      </c>
      <c r="D61" s="50">
        <f>+D60*0.6</f>
        <v>1440</v>
      </c>
    </row>
    <row r="62" spans="1:5">
      <c r="B62" s="35" t="s">
        <v>177</v>
      </c>
      <c r="C62" s="35">
        <f>+C60-C61</f>
        <v>1440</v>
      </c>
      <c r="D62" s="35">
        <f t="shared" ref="D62" si="16">+D60-D61</f>
        <v>960</v>
      </c>
    </row>
    <row r="63" spans="1:5">
      <c r="B63" s="35" t="s">
        <v>571</v>
      </c>
      <c r="C63" s="35">
        <f>+C66+C67-C61</f>
        <v>1340</v>
      </c>
      <c r="D63" s="35">
        <f>+D66+D67-D61</f>
        <v>860</v>
      </c>
    </row>
    <row r="64" spans="1:5" ht="16.8" thickBot="1">
      <c r="B64" s="35" t="s">
        <v>179</v>
      </c>
      <c r="C64" s="54">
        <f>+C62-C63</f>
        <v>100</v>
      </c>
      <c r="D64" s="54">
        <f t="shared" ref="D64" si="17">+D62-D63</f>
        <v>100</v>
      </c>
    </row>
    <row r="65" spans="1:6" ht="16.8" thickTop="1"/>
    <row r="66" spans="1:6">
      <c r="B66" s="256" t="s">
        <v>574</v>
      </c>
      <c r="C66" s="256">
        <v>1700</v>
      </c>
      <c r="D66" s="256">
        <v>2000</v>
      </c>
    </row>
    <row r="67" spans="1:6">
      <c r="B67" s="256" t="s">
        <v>575</v>
      </c>
      <c r="C67" s="256">
        <v>600</v>
      </c>
      <c r="D67" s="256">
        <v>300</v>
      </c>
    </row>
    <row r="69" spans="1:6">
      <c r="B69" s="35" t="s">
        <v>568</v>
      </c>
      <c r="C69" s="254">
        <f>+C62/C64</f>
        <v>14.4</v>
      </c>
      <c r="D69" s="254">
        <f>+D62/D64</f>
        <v>9.6</v>
      </c>
    </row>
    <row r="71" spans="1:6">
      <c r="B71" s="35" t="s">
        <v>576</v>
      </c>
    </row>
    <row r="72" spans="1:6">
      <c r="F72" s="35" t="s">
        <v>577</v>
      </c>
    </row>
    <row r="74" spans="1:6">
      <c r="A74" s="35" t="s">
        <v>365</v>
      </c>
      <c r="B74" s="35" t="s">
        <v>578</v>
      </c>
      <c r="D74" s="35" t="s">
        <v>593</v>
      </c>
    </row>
    <row r="76" spans="1:6">
      <c r="C76" s="35" t="s">
        <v>579</v>
      </c>
      <c r="D76" s="35" t="s">
        <v>580</v>
      </c>
      <c r="E76" s="35" t="s">
        <v>581</v>
      </c>
    </row>
    <row r="77" spans="1:6">
      <c r="B77" s="35" t="s">
        <v>582</v>
      </c>
      <c r="C77" s="35">
        <v>6000</v>
      </c>
      <c r="D77" s="35">
        <v>8600</v>
      </c>
      <c r="E77" s="35">
        <v>10600</v>
      </c>
    </row>
    <row r="78" spans="1:6">
      <c r="B78" s="35" t="s">
        <v>583</v>
      </c>
      <c r="C78" s="35">
        <v>3000</v>
      </c>
      <c r="D78" s="35">
        <v>4200</v>
      </c>
      <c r="E78" s="35">
        <v>5400</v>
      </c>
    </row>
    <row r="79" spans="1:6">
      <c r="B79" s="35" t="s">
        <v>584</v>
      </c>
      <c r="C79" s="35">
        <v>1</v>
      </c>
      <c r="D79" s="35">
        <v>2</v>
      </c>
      <c r="E79" s="35">
        <v>4</v>
      </c>
      <c r="F79" s="35" t="s">
        <v>587</v>
      </c>
    </row>
    <row r="80" spans="1:6">
      <c r="B80" s="35" t="s">
        <v>585</v>
      </c>
      <c r="C80" s="35">
        <v>200</v>
      </c>
      <c r="D80" s="35">
        <v>200</v>
      </c>
      <c r="E80" s="35">
        <v>200</v>
      </c>
      <c r="F80" s="35" t="s">
        <v>588</v>
      </c>
    </row>
    <row r="82" spans="1:7">
      <c r="B82" s="35" t="s">
        <v>542</v>
      </c>
      <c r="C82" s="35">
        <f>+C77-C78</f>
        <v>3000</v>
      </c>
      <c r="D82" s="35">
        <f t="shared" ref="D82:E82" si="18">+D77-D78</f>
        <v>4400</v>
      </c>
      <c r="E82" s="35">
        <f t="shared" si="18"/>
        <v>5200</v>
      </c>
    </row>
    <row r="83" spans="1:7">
      <c r="B83" s="35" t="s">
        <v>586</v>
      </c>
      <c r="C83" s="35">
        <f>+C82/C79</f>
        <v>3000</v>
      </c>
      <c r="D83" s="35">
        <f t="shared" ref="D83:E83" si="19">+D82/D79</f>
        <v>2200</v>
      </c>
      <c r="E83" s="35">
        <f t="shared" si="19"/>
        <v>1300</v>
      </c>
    </row>
    <row r="84" spans="1:7">
      <c r="B84" s="35" t="s">
        <v>589</v>
      </c>
    </row>
    <row r="85" spans="1:7">
      <c r="B85" s="25" t="s">
        <v>590</v>
      </c>
      <c r="C85" s="25">
        <v>200</v>
      </c>
      <c r="D85" s="25">
        <v>200</v>
      </c>
      <c r="E85" s="25">
        <v>50</v>
      </c>
    </row>
    <row r="86" spans="1:7">
      <c r="B86" s="35" t="s">
        <v>591</v>
      </c>
      <c r="C86" s="35">
        <f>+C85*C79</f>
        <v>200</v>
      </c>
      <c r="D86" s="35">
        <f t="shared" ref="D86:E86" si="20">+D85*D79</f>
        <v>400</v>
      </c>
      <c r="E86" s="35">
        <f t="shared" si="20"/>
        <v>200</v>
      </c>
      <c r="F86" s="35">
        <f>+SUM(C86:E86)</f>
        <v>800</v>
      </c>
    </row>
    <row r="88" spans="1:7">
      <c r="A88" s="35" t="s">
        <v>381</v>
      </c>
      <c r="B88" s="35" t="s">
        <v>592</v>
      </c>
    </row>
    <row r="90" spans="1:7">
      <c r="D90" s="35" t="s">
        <v>594</v>
      </c>
      <c r="F90" s="35" t="s">
        <v>595</v>
      </c>
    </row>
    <row r="91" spans="1:7">
      <c r="C91" s="35" t="s">
        <v>181</v>
      </c>
      <c r="D91" s="35">
        <v>300</v>
      </c>
    </row>
    <row r="92" spans="1:7">
      <c r="C92" s="35" t="s">
        <v>180</v>
      </c>
    </row>
    <row r="93" spans="1:7">
      <c r="B93" s="35" t="s">
        <v>176</v>
      </c>
      <c r="C93" s="35">
        <v>15</v>
      </c>
      <c r="D93" s="35">
        <f>+D91*C93</f>
        <v>4500</v>
      </c>
      <c r="E93" s="35">
        <v>20</v>
      </c>
      <c r="F93" s="35">
        <f>+D91*E93</f>
        <v>6000</v>
      </c>
    </row>
    <row r="94" spans="1:7">
      <c r="B94" s="35" t="s">
        <v>178</v>
      </c>
      <c r="D94" s="35">
        <v>2300</v>
      </c>
      <c r="F94" s="35">
        <f>+D94-900</f>
        <v>1400</v>
      </c>
      <c r="G94" s="35" t="s">
        <v>596</v>
      </c>
    </row>
    <row r="95" spans="1:7" ht="16.8" thickBot="1">
      <c r="B95" s="35" t="s">
        <v>68</v>
      </c>
      <c r="D95" s="54">
        <f>+SUM(D93:D94)</f>
        <v>6800</v>
      </c>
      <c r="F95" s="54">
        <f>+SUM(F93:F94)</f>
        <v>7400</v>
      </c>
    </row>
    <row r="96" spans="1:7" ht="16.8" thickTop="1"/>
    <row r="97" spans="1:10">
      <c r="D97" s="35" t="s">
        <v>597</v>
      </c>
    </row>
    <row r="99" spans="1:10">
      <c r="A99" s="35" t="s">
        <v>598</v>
      </c>
      <c r="B99" s="35" t="s">
        <v>599</v>
      </c>
      <c r="C99" s="35" t="s">
        <v>600</v>
      </c>
    </row>
    <row r="101" spans="1:10">
      <c r="D101" s="35" t="s">
        <v>120</v>
      </c>
      <c r="F101" s="35" t="s">
        <v>283</v>
      </c>
      <c r="I101" s="35" t="s">
        <v>606</v>
      </c>
    </row>
    <row r="102" spans="1:10">
      <c r="C102" s="35" t="s">
        <v>181</v>
      </c>
      <c r="D102" s="35">
        <v>2000</v>
      </c>
      <c r="F102" s="35">
        <v>4000</v>
      </c>
      <c r="I102" s="35">
        <v>2000</v>
      </c>
    </row>
    <row r="103" spans="1:10">
      <c r="C103" s="35" t="s">
        <v>180</v>
      </c>
    </row>
    <row r="104" spans="1:10">
      <c r="B104" s="35" t="s">
        <v>601</v>
      </c>
      <c r="C104" s="35">
        <v>160</v>
      </c>
      <c r="D104" s="35">
        <f>+D102*C104</f>
        <v>320000</v>
      </c>
      <c r="F104" s="35">
        <f>+F102*C104</f>
        <v>640000</v>
      </c>
      <c r="I104" s="35">
        <f>+I102*C104</f>
        <v>320000</v>
      </c>
    </row>
    <row r="105" spans="1:10">
      <c r="B105" s="35" t="s">
        <v>176</v>
      </c>
      <c r="C105" s="35">
        <v>140</v>
      </c>
      <c r="D105" s="35">
        <f>+D102*C105</f>
        <v>280000</v>
      </c>
      <c r="F105" s="35">
        <f>+F102*C105</f>
        <v>560000</v>
      </c>
      <c r="I105" s="35">
        <f>+I102*C105</f>
        <v>280000</v>
      </c>
    </row>
    <row r="106" spans="1:10">
      <c r="E106" s="35" t="s">
        <v>603</v>
      </c>
      <c r="F106" s="35">
        <f>+(200-140)*2000</f>
        <v>120000</v>
      </c>
      <c r="G106" s="35" t="s">
        <v>604</v>
      </c>
      <c r="I106" s="35">
        <f>10*10000</f>
        <v>100000</v>
      </c>
      <c r="J106" s="35" t="s">
        <v>607</v>
      </c>
    </row>
    <row r="107" spans="1:10" ht="16.8" thickBot="1">
      <c r="B107" s="35" t="s">
        <v>542</v>
      </c>
      <c r="D107" s="54">
        <f>+D104-D105</f>
        <v>40000</v>
      </c>
      <c r="F107" s="54">
        <f>+F104-SUM(F105:F106)</f>
        <v>-40000</v>
      </c>
      <c r="I107" s="54">
        <f>+I104-SUM(I105:I106)</f>
        <v>-60000</v>
      </c>
    </row>
    <row r="108" spans="1:10" ht="16.8" thickTop="1"/>
    <row r="109" spans="1:10">
      <c r="I109" s="35" t="s">
        <v>608</v>
      </c>
    </row>
    <row r="110" spans="1:10">
      <c r="F110" s="35" t="s">
        <v>605</v>
      </c>
    </row>
    <row r="111" spans="1:10">
      <c r="D111" s="35" t="s">
        <v>602</v>
      </c>
    </row>
    <row r="113" spans="1:7">
      <c r="A113" s="35" t="s">
        <v>609</v>
      </c>
    </row>
    <row r="114" spans="1:7">
      <c r="A114" s="35" t="s">
        <v>174</v>
      </c>
    </row>
    <row r="116" spans="1:7">
      <c r="C116" s="35" t="s">
        <v>610</v>
      </c>
      <c r="D116" s="35" t="s">
        <v>611</v>
      </c>
      <c r="E116" s="35" t="s">
        <v>612</v>
      </c>
      <c r="F116" s="35" t="s">
        <v>613</v>
      </c>
    </row>
    <row r="117" spans="1:7">
      <c r="B117" s="35" t="s">
        <v>289</v>
      </c>
      <c r="C117" s="35">
        <v>30000</v>
      </c>
      <c r="D117" s="35">
        <v>40000</v>
      </c>
      <c r="E117" s="35">
        <v>36000</v>
      </c>
      <c r="F117" s="35">
        <v>25000</v>
      </c>
    </row>
    <row r="118" spans="1:7">
      <c r="B118" s="35" t="s">
        <v>176</v>
      </c>
      <c r="C118" s="35">
        <v>18000</v>
      </c>
      <c r="D118" s="35">
        <v>22000</v>
      </c>
      <c r="E118" s="35">
        <v>18000</v>
      </c>
      <c r="F118" s="35">
        <v>15000</v>
      </c>
    </row>
    <row r="119" spans="1:7">
      <c r="B119" s="35" t="s">
        <v>614</v>
      </c>
      <c r="C119" s="35">
        <v>5</v>
      </c>
      <c r="D119" s="35">
        <v>8</v>
      </c>
      <c r="E119" s="35">
        <v>6</v>
      </c>
      <c r="F119" s="35">
        <v>4</v>
      </c>
    </row>
    <row r="120" spans="1:7">
      <c r="B120" s="35" t="s">
        <v>615</v>
      </c>
      <c r="C120" s="35">
        <v>3500</v>
      </c>
      <c r="D120" s="35">
        <v>5000</v>
      </c>
      <c r="E120" s="35">
        <v>2000</v>
      </c>
      <c r="F120" s="35">
        <v>3000</v>
      </c>
    </row>
    <row r="121" spans="1:7">
      <c r="B121" s="35" t="s">
        <v>616</v>
      </c>
      <c r="C121" s="35">
        <v>9000</v>
      </c>
      <c r="D121" s="35">
        <v>12000</v>
      </c>
      <c r="E121" s="35">
        <v>8000</v>
      </c>
      <c r="F121" s="35">
        <v>10000</v>
      </c>
    </row>
    <row r="123" spans="1:7">
      <c r="A123" s="35" t="s">
        <v>120</v>
      </c>
      <c r="B123" s="35" t="s">
        <v>617</v>
      </c>
      <c r="C123" s="252">
        <f>+(C117-C118)/C117</f>
        <v>0.4</v>
      </c>
      <c r="D123" s="252">
        <f t="shared" ref="D123:F123" si="21">+(D117-D118)/D117</f>
        <v>0.45</v>
      </c>
      <c r="E123" s="252">
        <f t="shared" si="21"/>
        <v>0.5</v>
      </c>
      <c r="F123" s="252">
        <f t="shared" si="21"/>
        <v>0.4</v>
      </c>
    </row>
    <row r="125" spans="1:7">
      <c r="A125" s="35" t="s">
        <v>283</v>
      </c>
      <c r="B125" s="35" t="s">
        <v>578</v>
      </c>
    </row>
    <row r="126" spans="1:7">
      <c r="B126" s="35" t="s">
        <v>618</v>
      </c>
      <c r="C126" s="35">
        <f>+(C117-C118)/C119</f>
        <v>2400</v>
      </c>
      <c r="D126" s="35">
        <f t="shared" ref="D126:F126" si="22">+(D117-D118)/D119</f>
        <v>2250</v>
      </c>
      <c r="E126" s="35">
        <f t="shared" si="22"/>
        <v>3000</v>
      </c>
      <c r="F126" s="35">
        <f t="shared" si="22"/>
        <v>2500</v>
      </c>
    </row>
    <row r="127" spans="1:7" ht="16.8" thickBot="1">
      <c r="B127" s="35" t="s">
        <v>619</v>
      </c>
      <c r="C127" s="35">
        <v>3</v>
      </c>
      <c r="D127" s="35">
        <v>4</v>
      </c>
      <c r="E127" s="35">
        <v>1</v>
      </c>
      <c r="F127" s="35">
        <v>2</v>
      </c>
    </row>
    <row r="128" spans="1:7" ht="16.8" thickBot="1">
      <c r="B128" s="249" t="s">
        <v>620</v>
      </c>
      <c r="C128" s="250">
        <f>+C129/C119</f>
        <v>4400</v>
      </c>
      <c r="D128" s="250">
        <f>+D120</f>
        <v>5000</v>
      </c>
      <c r="E128" s="250">
        <f>+E121</f>
        <v>8000</v>
      </c>
      <c r="F128" s="251">
        <f>+F121</f>
        <v>10000</v>
      </c>
      <c r="G128" s="35" t="s">
        <v>622</v>
      </c>
    </row>
    <row r="129" spans="1:9">
      <c r="B129" s="35" t="s">
        <v>621</v>
      </c>
      <c r="C129" s="35">
        <f>+G129-SUM(D129:F129)</f>
        <v>22000</v>
      </c>
      <c r="D129" s="35">
        <f t="shared" ref="D129:F129" si="23">+D128*D119</f>
        <v>40000</v>
      </c>
      <c r="E129" s="35">
        <f t="shared" si="23"/>
        <v>48000</v>
      </c>
      <c r="F129" s="35">
        <f t="shared" si="23"/>
        <v>40000</v>
      </c>
      <c r="G129" s="35">
        <v>150000</v>
      </c>
    </row>
    <row r="132" spans="1:9">
      <c r="A132" s="35" t="s">
        <v>187</v>
      </c>
    </row>
    <row r="133" spans="1:9">
      <c r="B133" s="35" t="s">
        <v>627</v>
      </c>
    </row>
    <row r="134" spans="1:9">
      <c r="B134" s="35" t="s">
        <v>623</v>
      </c>
    </row>
    <row r="135" spans="1:9">
      <c r="E135" s="35" t="s">
        <v>564</v>
      </c>
      <c r="G135" s="35" t="s">
        <v>628</v>
      </c>
    </row>
    <row r="136" spans="1:9">
      <c r="E136" s="35" t="s">
        <v>176</v>
      </c>
    </row>
    <row r="137" spans="1:9">
      <c r="B137" s="35" t="s">
        <v>624</v>
      </c>
      <c r="C137" s="35">
        <v>1400</v>
      </c>
      <c r="D137" s="35">
        <v>1</v>
      </c>
      <c r="E137" s="35">
        <f>+C137*D137</f>
        <v>1400</v>
      </c>
      <c r="F137" s="35">
        <v>1500</v>
      </c>
      <c r="G137" s="35">
        <f>+F137*D137</f>
        <v>1500</v>
      </c>
    </row>
    <row r="138" spans="1:9">
      <c r="B138" s="35" t="s">
        <v>625</v>
      </c>
      <c r="C138" s="35">
        <v>1400</v>
      </c>
      <c r="D138" s="257">
        <v>0.5</v>
      </c>
      <c r="E138" s="35">
        <f t="shared" ref="E138:E139" si="24">+C138*D138</f>
        <v>700</v>
      </c>
      <c r="F138" s="257">
        <v>0.8</v>
      </c>
      <c r="G138" s="35">
        <f>+C138*F138</f>
        <v>1120</v>
      </c>
      <c r="H138" s="255" t="s">
        <v>629</v>
      </c>
      <c r="I138" s="35">
        <f>+C138*0.25*200</f>
        <v>70000</v>
      </c>
    </row>
    <row r="139" spans="1:9">
      <c r="B139" s="35" t="s">
        <v>626</v>
      </c>
      <c r="C139" s="35">
        <v>350</v>
      </c>
      <c r="D139" s="257">
        <v>0.7</v>
      </c>
      <c r="E139" s="35">
        <f t="shared" si="24"/>
        <v>244.99999999999997</v>
      </c>
      <c r="F139" s="35">
        <v>1.1000000000000001</v>
      </c>
      <c r="G139" s="35">
        <f>+C139*F139</f>
        <v>385.00000000000006</v>
      </c>
    </row>
    <row r="140" spans="1:9" ht="16.8" thickBot="1">
      <c r="E140" s="54">
        <f>SUM(E137:E139)</f>
        <v>2345</v>
      </c>
      <c r="G140" s="54">
        <f>SUM(G137:G139)</f>
        <v>3005</v>
      </c>
    </row>
    <row r="141" spans="1:9" ht="16.8" thickTop="1"/>
    <row r="142" spans="1:9">
      <c r="B142" s="35" t="s">
        <v>630</v>
      </c>
    </row>
    <row r="143" spans="1:9">
      <c r="C143" s="35" t="s">
        <v>181</v>
      </c>
      <c r="D143" s="35">
        <v>1000</v>
      </c>
    </row>
    <row r="144" spans="1:9">
      <c r="C144" s="35" t="s">
        <v>180</v>
      </c>
    </row>
    <row r="145" spans="1:8">
      <c r="B145" s="35" t="s">
        <v>37</v>
      </c>
      <c r="C145" s="35">
        <v>5000</v>
      </c>
      <c r="D145" s="35">
        <f>+C145*D143</f>
        <v>5000000</v>
      </c>
    </row>
    <row r="146" spans="1:8">
      <c r="B146" s="35" t="s">
        <v>176</v>
      </c>
      <c r="C146" s="35">
        <f>+G140</f>
        <v>3005</v>
      </c>
      <c r="D146" s="35">
        <f>+C146*D143</f>
        <v>3005000</v>
      </c>
    </row>
    <row r="147" spans="1:8">
      <c r="B147" s="35" t="s">
        <v>631</v>
      </c>
      <c r="D147" s="35">
        <f>+I138</f>
        <v>70000</v>
      </c>
    </row>
    <row r="148" spans="1:8" ht="16.8" thickBot="1">
      <c r="B148" s="35" t="s">
        <v>632</v>
      </c>
      <c r="D148" s="54">
        <f>+D145-SUM(D146:D147)</f>
        <v>1925000</v>
      </c>
    </row>
    <row r="149" spans="1:8" ht="16.8" thickTop="1"/>
    <row r="150" spans="1:8">
      <c r="D150" s="35" t="s">
        <v>633</v>
      </c>
    </row>
    <row r="152" spans="1:8">
      <c r="A152" s="35" t="s">
        <v>634</v>
      </c>
    </row>
    <row r="153" spans="1:8">
      <c r="B153" s="35" t="s">
        <v>635</v>
      </c>
    </row>
    <row r="155" spans="1:8" s="36" customFormat="1">
      <c r="A155" s="36" t="s">
        <v>636</v>
      </c>
    </row>
    <row r="156" spans="1:8" s="36" customFormat="1">
      <c r="D156" s="36" t="s">
        <v>637</v>
      </c>
      <c r="F156" s="36" t="s">
        <v>638</v>
      </c>
      <c r="H156" s="36" t="s">
        <v>639</v>
      </c>
    </row>
    <row r="157" spans="1:8" s="36" customFormat="1">
      <c r="B157" s="36" t="s">
        <v>289</v>
      </c>
      <c r="D157" s="36">
        <v>5300</v>
      </c>
      <c r="F157" s="36">
        <v>5000</v>
      </c>
      <c r="H157" s="36">
        <v>5500</v>
      </c>
    </row>
    <row r="158" spans="1:8" s="36" customFormat="1">
      <c r="B158" s="36" t="s">
        <v>640</v>
      </c>
      <c r="D158" s="36">
        <v>1500</v>
      </c>
      <c r="F158" s="36">
        <v>1400</v>
      </c>
      <c r="H158" s="36">
        <v>1650</v>
      </c>
    </row>
    <row r="159" spans="1:8" s="36" customFormat="1">
      <c r="B159" s="36" t="s">
        <v>641</v>
      </c>
      <c r="D159" s="36">
        <f>+D157-D158</f>
        <v>3800</v>
      </c>
      <c r="F159" s="36">
        <f>+F157-F158</f>
        <v>3600</v>
      </c>
      <c r="H159" s="36">
        <f>+H157-H158</f>
        <v>3850</v>
      </c>
    </row>
    <row r="160" spans="1:8" s="36" customFormat="1">
      <c r="A160" s="36" t="s">
        <v>120</v>
      </c>
      <c r="B160" s="36" t="s">
        <v>642</v>
      </c>
      <c r="D160" s="258">
        <f>+D159/D157</f>
        <v>0.71698113207547165</v>
      </c>
      <c r="F160" s="258">
        <f>+F159/F157</f>
        <v>0.72</v>
      </c>
      <c r="H160" s="258">
        <f>+H159/H157</f>
        <v>0.7</v>
      </c>
    </row>
    <row r="161" spans="2:10" s="36" customFormat="1"/>
    <row r="162" spans="2:10" s="36" customFormat="1"/>
    <row r="163" spans="2:10" s="36" customFormat="1"/>
    <row r="164" spans="2:10" s="36" customFormat="1">
      <c r="B164" s="36" t="s">
        <v>643</v>
      </c>
      <c r="D164" s="259">
        <v>0.4</v>
      </c>
      <c r="F164" s="259">
        <v>0.6</v>
      </c>
      <c r="H164" s="259">
        <v>0.5</v>
      </c>
    </row>
    <row r="165" spans="2:10" s="36" customFormat="1">
      <c r="B165" s="36" t="s">
        <v>644</v>
      </c>
      <c r="D165" s="36">
        <f>+D159/D164</f>
        <v>9500</v>
      </c>
      <c r="F165" s="36">
        <f>+F159/F164</f>
        <v>6000</v>
      </c>
      <c r="H165" s="36">
        <f>+H159/H164</f>
        <v>7700</v>
      </c>
    </row>
    <row r="166" spans="2:10" s="36" customFormat="1">
      <c r="B166" s="36" t="s">
        <v>645</v>
      </c>
      <c r="D166" s="36">
        <v>10000</v>
      </c>
      <c r="F166" s="36">
        <v>8000</v>
      </c>
      <c r="H166" s="36">
        <v>4000</v>
      </c>
    </row>
    <row r="167" spans="2:10" s="36" customFormat="1"/>
    <row r="168" spans="2:10" s="36" customFormat="1">
      <c r="B168" s="260" t="s">
        <v>646</v>
      </c>
      <c r="C168" s="261"/>
      <c r="D168" s="261" t="s">
        <v>122</v>
      </c>
      <c r="E168" s="261"/>
      <c r="F168" s="261" t="s">
        <v>124</v>
      </c>
      <c r="G168" s="261"/>
      <c r="H168" s="261" t="s">
        <v>123</v>
      </c>
      <c r="I168" s="261"/>
      <c r="J168" s="262"/>
    </row>
    <row r="169" spans="2:10" s="36" customFormat="1">
      <c r="B169" s="263" t="s">
        <v>647</v>
      </c>
      <c r="C169" s="264"/>
      <c r="D169" s="265">
        <v>10000</v>
      </c>
      <c r="E169" s="264"/>
      <c r="F169" s="265">
        <f>+F170/F164</f>
        <v>6000</v>
      </c>
      <c r="G169" s="264"/>
      <c r="H169" s="265">
        <v>4000</v>
      </c>
      <c r="I169" s="264" t="s">
        <v>648</v>
      </c>
      <c r="J169" s="266"/>
    </row>
    <row r="170" spans="2:10" s="36" customFormat="1">
      <c r="B170" s="263" t="s">
        <v>649</v>
      </c>
      <c r="C170" s="264"/>
      <c r="D170" s="264">
        <f>+D169*D164</f>
        <v>4000</v>
      </c>
      <c r="E170" s="264"/>
      <c r="F170" s="264">
        <f>+J170-D170-H170</f>
        <v>3600</v>
      </c>
      <c r="G170" s="264"/>
      <c r="H170" s="264">
        <f>+H169*H164</f>
        <v>2000</v>
      </c>
      <c r="I170" s="264" t="s">
        <v>68</v>
      </c>
      <c r="J170" s="266">
        <v>9600</v>
      </c>
    </row>
    <row r="171" spans="2:10" s="36" customFormat="1">
      <c r="B171" s="263" t="s">
        <v>177</v>
      </c>
      <c r="C171" s="264"/>
      <c r="D171" s="264">
        <f>+D169*D159</f>
        <v>38000000</v>
      </c>
      <c r="E171" s="264"/>
      <c r="F171" s="264">
        <f>+F169*F159</f>
        <v>21600000</v>
      </c>
      <c r="G171" s="264"/>
      <c r="H171" s="264">
        <f>+H169*H159</f>
        <v>15400000</v>
      </c>
      <c r="I171" s="264"/>
      <c r="J171" s="266"/>
    </row>
    <row r="172" spans="2:10" s="36" customFormat="1">
      <c r="B172" s="263" t="s">
        <v>650</v>
      </c>
      <c r="C172" s="264"/>
      <c r="D172" s="264">
        <v>18000000</v>
      </c>
      <c r="E172" s="264"/>
      <c r="F172" s="264">
        <v>17000000</v>
      </c>
      <c r="G172" s="264"/>
      <c r="H172" s="264">
        <v>17000000</v>
      </c>
      <c r="I172" s="264"/>
      <c r="J172" s="266"/>
    </row>
    <row r="173" spans="2:10" s="36" customFormat="1">
      <c r="B173" s="267" t="s">
        <v>545</v>
      </c>
      <c r="C173" s="268"/>
      <c r="D173" s="268">
        <f>+D171-D172</f>
        <v>20000000</v>
      </c>
      <c r="E173" s="268"/>
      <c r="F173" s="268">
        <f>+F171-F172</f>
        <v>4600000</v>
      </c>
      <c r="G173" s="268"/>
      <c r="H173" s="268">
        <f>+H171-H172</f>
        <v>-1600000</v>
      </c>
      <c r="I173" s="268"/>
      <c r="J173" s="269"/>
    </row>
    <row r="174" spans="2:10" s="36" customFormat="1"/>
    <row r="175" spans="2:10" s="36" customFormat="1"/>
    <row r="176" spans="2:10" s="36" customFormat="1">
      <c r="B176" s="270" t="s">
        <v>646</v>
      </c>
      <c r="C176" s="271"/>
      <c r="D176" s="271" t="s">
        <v>122</v>
      </c>
      <c r="E176" s="271"/>
      <c r="F176" s="271" t="s">
        <v>123</v>
      </c>
      <c r="G176" s="271"/>
      <c r="H176" s="271" t="s">
        <v>297</v>
      </c>
      <c r="I176" s="271"/>
      <c r="J176" s="272"/>
    </row>
    <row r="177" spans="1:12" s="36" customFormat="1">
      <c r="A177" s="36" t="s">
        <v>283</v>
      </c>
      <c r="B177" s="273" t="s">
        <v>647</v>
      </c>
      <c r="C177" s="265"/>
      <c r="D177" s="274">
        <v>10000</v>
      </c>
      <c r="E177" s="265"/>
      <c r="F177" s="274">
        <v>8000</v>
      </c>
      <c r="G177" s="265"/>
      <c r="H177" s="274">
        <v>0</v>
      </c>
      <c r="I177" s="265"/>
      <c r="J177" s="275"/>
    </row>
    <row r="178" spans="1:12" s="36" customFormat="1">
      <c r="B178" s="273" t="s">
        <v>649</v>
      </c>
      <c r="C178" s="265"/>
      <c r="D178" s="265">
        <f>+D177*D164</f>
        <v>4000</v>
      </c>
      <c r="E178" s="265"/>
      <c r="F178" s="265">
        <f>+F177*F164</f>
        <v>4800</v>
      </c>
      <c r="G178" s="265"/>
      <c r="H178" s="265">
        <f>+H177*H172</f>
        <v>0</v>
      </c>
      <c r="I178" s="265" t="s">
        <v>68</v>
      </c>
      <c r="J178" s="275">
        <f>+D178+F178</f>
        <v>8800</v>
      </c>
    </row>
    <row r="179" spans="1:12" s="36" customFormat="1">
      <c r="B179" s="273" t="s">
        <v>177</v>
      </c>
      <c r="C179" s="265"/>
      <c r="D179" s="265">
        <f>+D177*D159</f>
        <v>38000000</v>
      </c>
      <c r="E179" s="265"/>
      <c r="F179" s="265">
        <f>+F177*F159</f>
        <v>28800000</v>
      </c>
      <c r="G179" s="265"/>
      <c r="H179" s="265">
        <f>+H177*H167</f>
        <v>0</v>
      </c>
      <c r="I179" s="265"/>
      <c r="J179" s="275"/>
    </row>
    <row r="180" spans="1:12" s="36" customFormat="1">
      <c r="B180" s="273" t="s">
        <v>650</v>
      </c>
      <c r="C180" s="265"/>
      <c r="D180" s="265">
        <v>18000000</v>
      </c>
      <c r="E180" s="265"/>
      <c r="F180" s="265">
        <v>17000000</v>
      </c>
      <c r="G180" s="265"/>
      <c r="H180" s="265"/>
      <c r="I180" s="265"/>
      <c r="J180" s="275"/>
      <c r="L180" s="36" t="s">
        <v>651</v>
      </c>
    </row>
    <row r="181" spans="1:12" s="36" customFormat="1">
      <c r="B181" s="276" t="s">
        <v>545</v>
      </c>
      <c r="C181" s="277"/>
      <c r="D181" s="277">
        <f>+D179-D180</f>
        <v>20000000</v>
      </c>
      <c r="E181" s="277"/>
      <c r="F181" s="277">
        <f>+F179-F180</f>
        <v>11800000</v>
      </c>
      <c r="G181" s="277"/>
      <c r="H181" s="277">
        <f>+H179-H180</f>
        <v>0</v>
      </c>
      <c r="I181" s="277"/>
      <c r="J181" s="278">
        <f>+SUM(D181:I181)</f>
        <v>31800000</v>
      </c>
      <c r="L181" s="36">
        <v>15000000</v>
      </c>
    </row>
    <row r="182" spans="1:12" s="36" customFormat="1">
      <c r="B182" s="265" t="s">
        <v>179</v>
      </c>
      <c r="C182" s="265"/>
      <c r="D182" s="265"/>
      <c r="E182" s="265"/>
      <c r="F182" s="265"/>
      <c r="G182" s="265"/>
      <c r="H182" s="265"/>
      <c r="I182" s="265"/>
      <c r="J182" s="274">
        <f>+J181-L181</f>
        <v>16800000</v>
      </c>
    </row>
    <row r="183" spans="1:12" s="36" customFormat="1"/>
    <row r="184" spans="1:12" s="36" customFormat="1">
      <c r="B184" s="260" t="s">
        <v>646</v>
      </c>
      <c r="C184" s="261"/>
      <c r="D184" s="261" t="s">
        <v>122</v>
      </c>
      <c r="E184" s="261"/>
      <c r="F184" s="261" t="s">
        <v>124</v>
      </c>
      <c r="G184" s="261"/>
      <c r="H184" s="261" t="s">
        <v>123</v>
      </c>
      <c r="I184" s="261"/>
      <c r="J184" s="262"/>
    </row>
    <row r="185" spans="1:12" s="36" customFormat="1">
      <c r="B185" s="263" t="s">
        <v>652</v>
      </c>
      <c r="C185" s="264"/>
      <c r="D185" s="264">
        <f>+D166*1.1</f>
        <v>11000</v>
      </c>
      <c r="E185" s="264"/>
      <c r="F185" s="264"/>
      <c r="G185" s="264"/>
      <c r="H185" s="264">
        <f>+H166*1.25</f>
        <v>5000</v>
      </c>
      <c r="I185" s="264"/>
      <c r="J185" s="266"/>
    </row>
    <row r="186" spans="1:12" s="36" customFormat="1">
      <c r="A186" s="36" t="s">
        <v>606</v>
      </c>
      <c r="B186" s="263" t="s">
        <v>647</v>
      </c>
      <c r="C186" s="264"/>
      <c r="D186" s="265">
        <f>+D185</f>
        <v>11000</v>
      </c>
      <c r="E186" s="264"/>
      <c r="F186" s="265">
        <f>+F187/F164</f>
        <v>4500</v>
      </c>
      <c r="G186" s="264"/>
      <c r="H186" s="265">
        <f>+H185</f>
        <v>5000</v>
      </c>
      <c r="I186" s="264" t="s">
        <v>653</v>
      </c>
      <c r="J186" s="266"/>
    </row>
    <row r="187" spans="1:12" s="36" customFormat="1">
      <c r="B187" s="263" t="s">
        <v>649</v>
      </c>
      <c r="C187" s="264"/>
      <c r="D187" s="264">
        <f>+D186*D164</f>
        <v>4400</v>
      </c>
      <c r="E187" s="264"/>
      <c r="F187" s="264">
        <f>+J187-D187-H187</f>
        <v>2700</v>
      </c>
      <c r="G187" s="264"/>
      <c r="H187" s="264">
        <f>+H186*H164</f>
        <v>2500</v>
      </c>
      <c r="I187" s="264" t="s">
        <v>68</v>
      </c>
      <c r="J187" s="266">
        <v>9600</v>
      </c>
    </row>
    <row r="188" spans="1:12" s="36" customFormat="1">
      <c r="B188" s="263" t="s">
        <v>177</v>
      </c>
      <c r="C188" s="264"/>
      <c r="D188" s="264">
        <f>+D186*D159</f>
        <v>41800000</v>
      </c>
      <c r="E188" s="264"/>
      <c r="F188" s="264">
        <f>+F186*F159</f>
        <v>16200000</v>
      </c>
      <c r="G188" s="264"/>
      <c r="H188" s="264">
        <f>+H186*H159</f>
        <v>19250000</v>
      </c>
      <c r="I188" s="264"/>
      <c r="J188" s="266"/>
    </row>
    <row r="189" spans="1:12" s="36" customFormat="1">
      <c r="B189" s="263" t="s">
        <v>650</v>
      </c>
      <c r="C189" s="264"/>
      <c r="D189" s="264">
        <f>+D172+D192</f>
        <v>18500000</v>
      </c>
      <c r="E189" s="264"/>
      <c r="F189" s="264">
        <v>17000000</v>
      </c>
      <c r="G189" s="264"/>
      <c r="H189" s="264">
        <f>+H172+H192</f>
        <v>17500000</v>
      </c>
      <c r="I189" s="264"/>
      <c r="J189" s="266"/>
    </row>
    <row r="190" spans="1:12" s="36" customFormat="1">
      <c r="B190" s="267" t="s">
        <v>545</v>
      </c>
      <c r="C190" s="268"/>
      <c r="D190" s="268">
        <f>+D188-D189</f>
        <v>23300000</v>
      </c>
      <c r="E190" s="268"/>
      <c r="F190" s="268">
        <f>+F188-F189</f>
        <v>-800000</v>
      </c>
      <c r="G190" s="268"/>
      <c r="H190" s="268">
        <f>+H188-H189</f>
        <v>1750000</v>
      </c>
      <c r="I190" s="268"/>
      <c r="J190" s="269"/>
    </row>
    <row r="191" spans="1:12" s="36" customFormat="1"/>
    <row r="192" spans="1:12" s="36" customFormat="1">
      <c r="B192" s="36" t="s">
        <v>654</v>
      </c>
      <c r="D192" s="36">
        <v>500000</v>
      </c>
      <c r="H192" s="36">
        <v>500000</v>
      </c>
    </row>
    <row r="193" spans="2:12" s="36" customFormat="1"/>
    <row r="194" spans="2:12" s="36" customFormat="1">
      <c r="B194" s="270" t="s">
        <v>646</v>
      </c>
      <c r="C194" s="271"/>
      <c r="D194" s="271" t="s">
        <v>122</v>
      </c>
      <c r="E194" s="271"/>
      <c r="F194" s="271" t="s">
        <v>124</v>
      </c>
      <c r="G194" s="271"/>
      <c r="H194" s="271" t="s">
        <v>123</v>
      </c>
      <c r="I194" s="271"/>
      <c r="J194" s="272"/>
    </row>
    <row r="195" spans="2:12" s="36" customFormat="1">
      <c r="B195" s="273" t="s">
        <v>647</v>
      </c>
      <c r="C195" s="265"/>
      <c r="D195" s="274">
        <f>+D186</f>
        <v>11000</v>
      </c>
      <c r="E195" s="265"/>
      <c r="F195" s="274">
        <v>0</v>
      </c>
      <c r="G195" s="265"/>
      <c r="H195" s="274">
        <f>+H186</f>
        <v>5000</v>
      </c>
      <c r="I195" s="265" t="s">
        <v>653</v>
      </c>
      <c r="J195" s="275"/>
    </row>
    <row r="196" spans="2:12" s="36" customFormat="1">
      <c r="B196" s="273" t="s">
        <v>649</v>
      </c>
      <c r="C196" s="265"/>
      <c r="D196" s="265">
        <f>+D195*D164</f>
        <v>4400</v>
      </c>
      <c r="E196" s="265"/>
      <c r="F196" s="265">
        <f>+F195*F164</f>
        <v>0</v>
      </c>
      <c r="G196" s="265"/>
      <c r="H196" s="265">
        <f>+H195*H164</f>
        <v>2500</v>
      </c>
      <c r="I196" s="265" t="s">
        <v>68</v>
      </c>
      <c r="J196" s="275">
        <f>+D196+H196</f>
        <v>6900</v>
      </c>
    </row>
    <row r="197" spans="2:12" s="36" customFormat="1">
      <c r="B197" s="273" t="s">
        <v>177</v>
      </c>
      <c r="C197" s="265"/>
      <c r="D197" s="265">
        <f>+D195*D159</f>
        <v>41800000</v>
      </c>
      <c r="E197" s="265"/>
      <c r="F197" s="265">
        <f>+F195*F169</f>
        <v>0</v>
      </c>
      <c r="G197" s="265"/>
      <c r="H197" s="265">
        <f>+H195*H159</f>
        <v>19250000</v>
      </c>
      <c r="I197" s="265"/>
      <c r="J197" s="275"/>
    </row>
    <row r="198" spans="2:12" s="36" customFormat="1">
      <c r="B198" s="273" t="s">
        <v>650</v>
      </c>
      <c r="C198" s="265"/>
      <c r="D198" s="265">
        <f>+D189</f>
        <v>18500000</v>
      </c>
      <c r="E198" s="265"/>
      <c r="F198" s="265">
        <v>0</v>
      </c>
      <c r="G198" s="265"/>
      <c r="H198" s="265">
        <f>+H189</f>
        <v>17500000</v>
      </c>
      <c r="I198" s="265"/>
      <c r="J198" s="275"/>
      <c r="L198" s="36" t="s">
        <v>651</v>
      </c>
    </row>
    <row r="199" spans="2:12" s="36" customFormat="1">
      <c r="B199" s="276" t="s">
        <v>545</v>
      </c>
      <c r="C199" s="277"/>
      <c r="D199" s="277">
        <f>+D197-D198</f>
        <v>23300000</v>
      </c>
      <c r="E199" s="277"/>
      <c r="F199" s="277">
        <f>+F197-F198</f>
        <v>0</v>
      </c>
      <c r="G199" s="277"/>
      <c r="H199" s="277">
        <f>+H197-H198</f>
        <v>1750000</v>
      </c>
      <c r="I199" s="277"/>
      <c r="J199" s="278">
        <f>+SUM(D199:I199)</f>
        <v>25050000</v>
      </c>
      <c r="L199" s="36">
        <v>15000000</v>
      </c>
    </row>
    <row r="200" spans="2:12" s="36" customFormat="1">
      <c r="B200" s="265" t="s">
        <v>179</v>
      </c>
      <c r="C200" s="265"/>
      <c r="D200" s="265"/>
      <c r="E200" s="265"/>
      <c r="F200" s="265"/>
      <c r="G200" s="265"/>
      <c r="H200" s="265"/>
      <c r="I200" s="265"/>
      <c r="J200" s="274">
        <f>+J199-L199</f>
        <v>10050000</v>
      </c>
    </row>
    <row r="201" spans="2:12" s="36" customFormat="1">
      <c r="K201" s="36" t="s">
        <v>655</v>
      </c>
    </row>
    <row r="202" spans="2:12" s="36" customFormat="1">
      <c r="K202" s="36" t="s">
        <v>656</v>
      </c>
    </row>
    <row r="203" spans="2:12" s="36" customFormat="1"/>
  </sheetData>
  <phoneticPr fontId="2"/>
  <conditionalFormatting sqref="A1:XFD89 A90:B90 D90:XFD90 B105:H106 A103:A106 A102:B102 C102:H104 A108:XFD108 A109 A111:B111 D111:XFD111 A91:XFD100 A110:XFD110 A101:H101 A107:H107 I101:XFD107 D109:XFD109 A112:XFD1048576">
    <cfRule type="expression" dxfId="3" priority="1">
      <formula>+_xlfn.ISFORMULA(A1)</formula>
    </cfRule>
  </conditionalFormatting>
  <pageMargins left="0.25" right="0.25" top="0.75" bottom="0.75" header="0.3" footer="0.3"/>
  <pageSetup paperSize="9" scale="66"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8176-F2CC-4548-B154-07850B830F6F}">
  <sheetPr>
    <pageSetUpPr fitToPage="1"/>
  </sheetPr>
  <dimension ref="A1:V383"/>
  <sheetViews>
    <sheetView zoomScale="85" zoomScaleNormal="85" workbookViewId="0">
      <selection activeCell="G338" sqref="G338"/>
    </sheetView>
  </sheetViews>
  <sheetFormatPr defaultColWidth="13.6640625" defaultRowHeight="16.2"/>
  <cols>
    <col min="1" max="16384" width="13.6640625" style="35"/>
  </cols>
  <sheetData>
    <row r="1" spans="1:13">
      <c r="A1" s="35" t="s">
        <v>657</v>
      </c>
    </row>
    <row r="3" spans="1:13">
      <c r="A3" s="35" t="s">
        <v>174</v>
      </c>
    </row>
    <row r="4" spans="1:13">
      <c r="B4" s="35" t="s">
        <v>662</v>
      </c>
    </row>
    <row r="5" spans="1:13">
      <c r="M5" s="35" t="s">
        <v>663</v>
      </c>
    </row>
    <row r="6" spans="1:13" ht="16.8" thickBot="1">
      <c r="A6" s="35" t="s">
        <v>120</v>
      </c>
      <c r="B6" s="283" t="s">
        <v>658</v>
      </c>
      <c r="C6" s="321"/>
      <c r="D6" s="284">
        <v>400</v>
      </c>
      <c r="E6" s="283" t="s">
        <v>659</v>
      </c>
      <c r="F6" s="285">
        <v>600</v>
      </c>
      <c r="H6" s="35" t="s">
        <v>283</v>
      </c>
      <c r="I6" s="283" t="s">
        <v>658</v>
      </c>
      <c r="J6" s="284">
        <v>400</v>
      </c>
      <c r="K6" s="283" t="s">
        <v>659</v>
      </c>
      <c r="L6" s="321"/>
      <c r="M6" s="285">
        <v>600</v>
      </c>
    </row>
    <row r="7" spans="1:13" ht="16.8" thickBot="1">
      <c r="B7" s="294" t="s">
        <v>319</v>
      </c>
      <c r="C7" s="338"/>
      <c r="D7" s="295">
        <v>80</v>
      </c>
      <c r="E7" s="282"/>
      <c r="F7" s="286"/>
      <c r="I7" s="294" t="s">
        <v>319</v>
      </c>
      <c r="J7" s="295">
        <v>80</v>
      </c>
      <c r="K7" s="282"/>
      <c r="L7" s="319"/>
      <c r="M7" s="286"/>
    </row>
    <row r="8" spans="1:13">
      <c r="B8" s="289" t="s">
        <v>660</v>
      </c>
      <c r="C8" s="279"/>
      <c r="D8" s="291">
        <f>+SUM(F6:F10)-D6-D7</f>
        <v>120</v>
      </c>
      <c r="E8" s="282"/>
      <c r="F8" s="286"/>
      <c r="I8" s="289" t="s">
        <v>660</v>
      </c>
      <c r="J8" s="291">
        <f>+SUM(M6:M10)-J6-J7</f>
        <v>120</v>
      </c>
      <c r="K8" s="282"/>
      <c r="L8" s="319"/>
      <c r="M8" s="286"/>
    </row>
    <row r="9" spans="1:13">
      <c r="B9" s="289" t="s">
        <v>86</v>
      </c>
      <c r="C9" s="279"/>
      <c r="D9" s="292" t="s">
        <v>661</v>
      </c>
      <c r="E9" s="282"/>
      <c r="F9" s="286"/>
      <c r="I9" s="289" t="s">
        <v>86</v>
      </c>
      <c r="J9" s="292" t="s">
        <v>661</v>
      </c>
      <c r="K9" s="282"/>
      <c r="L9" s="319"/>
      <c r="M9" s="286"/>
    </row>
    <row r="10" spans="1:13" ht="16.8" thickBot="1">
      <c r="B10" s="290"/>
      <c r="C10" s="279"/>
      <c r="D10" s="293">
        <f>+D8-B10</f>
        <v>120</v>
      </c>
      <c r="E10" s="287"/>
      <c r="F10" s="288"/>
      <c r="I10" s="290">
        <f>+J8*0.3</f>
        <v>36</v>
      </c>
      <c r="J10" s="293">
        <f>+J8-I10</f>
        <v>84</v>
      </c>
      <c r="K10" s="287"/>
      <c r="L10" s="324"/>
      <c r="M10" s="288"/>
    </row>
    <row r="11" spans="1:13">
      <c r="B11" s="279" t="s">
        <v>664</v>
      </c>
      <c r="C11" s="279"/>
      <c r="D11" s="280">
        <f>+D7+D10</f>
        <v>200</v>
      </c>
      <c r="E11" s="282"/>
      <c r="F11" s="282"/>
      <c r="I11" s="279" t="s">
        <v>664</v>
      </c>
      <c r="J11" s="280">
        <f>+J7+J10</f>
        <v>164</v>
      </c>
    </row>
    <row r="14" spans="1:13" ht="16.8" thickBot="1">
      <c r="A14" s="35" t="s">
        <v>606</v>
      </c>
      <c r="B14" s="283" t="s">
        <v>658</v>
      </c>
      <c r="C14" s="321"/>
      <c r="D14" s="284"/>
      <c r="E14" s="283" t="s">
        <v>659</v>
      </c>
      <c r="F14" s="285">
        <v>600</v>
      </c>
      <c r="H14" s="35" t="s">
        <v>665</v>
      </c>
      <c r="I14" s="283" t="s">
        <v>658</v>
      </c>
      <c r="J14" s="284"/>
      <c r="K14" s="283" t="s">
        <v>659</v>
      </c>
      <c r="L14" s="321"/>
      <c r="M14" s="285">
        <v>600</v>
      </c>
    </row>
    <row r="15" spans="1:13" ht="16.8" thickBot="1">
      <c r="B15" s="294" t="s">
        <v>319</v>
      </c>
      <c r="C15" s="338"/>
      <c r="D15" s="295">
        <v>80</v>
      </c>
      <c r="E15" s="282"/>
      <c r="F15" s="286"/>
      <c r="I15" s="294" t="s">
        <v>319</v>
      </c>
      <c r="J15" s="295">
        <v>80</v>
      </c>
      <c r="K15" s="282"/>
      <c r="L15" s="319"/>
      <c r="M15" s="286"/>
    </row>
    <row r="16" spans="1:13">
      <c r="B16" s="289" t="s">
        <v>660</v>
      </c>
      <c r="C16" s="279"/>
      <c r="D16" s="291">
        <v>120</v>
      </c>
      <c r="E16" s="282"/>
      <c r="F16" s="286"/>
      <c r="I16" s="289" t="s">
        <v>660</v>
      </c>
      <c r="J16" s="291">
        <v>120</v>
      </c>
      <c r="K16" s="282"/>
      <c r="L16" s="319"/>
      <c r="M16" s="286"/>
    </row>
    <row r="17" spans="1:13">
      <c r="B17" s="289" t="s">
        <v>86</v>
      </c>
      <c r="C17" s="279"/>
      <c r="D17" s="292" t="s">
        <v>661</v>
      </c>
      <c r="E17" s="282"/>
      <c r="F17" s="286"/>
      <c r="I17" s="289" t="s">
        <v>86</v>
      </c>
      <c r="J17" s="292" t="s">
        <v>661</v>
      </c>
      <c r="K17" s="282"/>
      <c r="L17" s="319"/>
      <c r="M17" s="286"/>
    </row>
    <row r="18" spans="1:13" ht="16.8" thickBot="1">
      <c r="B18" s="290"/>
      <c r="C18" s="279"/>
      <c r="D18" s="293">
        <f>+D16-B18</f>
        <v>120</v>
      </c>
      <c r="E18" s="287"/>
      <c r="F18" s="288"/>
      <c r="I18" s="290">
        <f>+J16*0.3</f>
        <v>36</v>
      </c>
      <c r="J18" s="293">
        <f>+J16-I18</f>
        <v>84</v>
      </c>
      <c r="K18" s="287"/>
      <c r="L18" s="324"/>
      <c r="M18" s="288"/>
    </row>
    <row r="19" spans="1:13">
      <c r="B19" s="279" t="s">
        <v>664</v>
      </c>
      <c r="C19" s="279"/>
      <c r="D19" s="280">
        <f>+D15+D18</f>
        <v>200</v>
      </c>
      <c r="I19" s="279" t="s">
        <v>664</v>
      </c>
      <c r="J19" s="280">
        <f>+J15+J18</f>
        <v>164</v>
      </c>
    </row>
    <row r="21" spans="1:13" ht="16.8" thickBot="1">
      <c r="A21" s="35" t="s">
        <v>666</v>
      </c>
      <c r="B21" s="283" t="s">
        <v>658</v>
      </c>
      <c r="C21" s="321"/>
      <c r="D21" s="284"/>
      <c r="E21" s="283" t="s">
        <v>659</v>
      </c>
      <c r="F21" s="285">
        <v>100</v>
      </c>
      <c r="H21" s="35" t="s">
        <v>667</v>
      </c>
      <c r="I21" s="283" t="s">
        <v>658</v>
      </c>
      <c r="J21" s="284"/>
      <c r="K21" s="283" t="s">
        <v>659</v>
      </c>
      <c r="L21" s="321"/>
      <c r="M21" s="285">
        <v>100</v>
      </c>
    </row>
    <row r="22" spans="1:13" ht="16.8" thickBot="1">
      <c r="B22" s="294" t="s">
        <v>319</v>
      </c>
      <c r="C22" s="338"/>
      <c r="D22" s="295">
        <v>50</v>
      </c>
      <c r="E22" s="282"/>
      <c r="F22" s="286"/>
      <c r="I22" s="294" t="s">
        <v>319</v>
      </c>
      <c r="J22" s="295">
        <v>50</v>
      </c>
      <c r="K22" s="282"/>
      <c r="L22" s="319"/>
      <c r="M22" s="286"/>
    </row>
    <row r="23" spans="1:13">
      <c r="B23" s="289" t="s">
        <v>660</v>
      </c>
      <c r="C23" s="279"/>
      <c r="D23" s="291">
        <f>+SUM(F21:F25)-D21-D22</f>
        <v>50</v>
      </c>
      <c r="E23" s="282"/>
      <c r="F23" s="286"/>
      <c r="I23" s="289" t="s">
        <v>660</v>
      </c>
      <c r="J23" s="291">
        <f>+SUM(M21:M25)-J21-J22</f>
        <v>50</v>
      </c>
      <c r="K23" s="282"/>
      <c r="L23" s="319"/>
      <c r="M23" s="286"/>
    </row>
    <row r="24" spans="1:13">
      <c r="B24" s="289" t="s">
        <v>86</v>
      </c>
      <c r="C24" s="279"/>
      <c r="D24" s="292" t="s">
        <v>661</v>
      </c>
      <c r="E24" s="282"/>
      <c r="F24" s="286"/>
      <c r="I24" s="289" t="s">
        <v>86</v>
      </c>
      <c r="J24" s="292" t="s">
        <v>661</v>
      </c>
      <c r="K24" s="282"/>
      <c r="L24" s="319"/>
      <c r="M24" s="286"/>
    </row>
    <row r="25" spans="1:13" ht="16.8" thickBot="1">
      <c r="B25" s="290"/>
      <c r="C25" s="279"/>
      <c r="D25" s="293">
        <f>+D23-B25</f>
        <v>50</v>
      </c>
      <c r="E25" s="287"/>
      <c r="F25" s="288"/>
      <c r="I25" s="290">
        <f>+J23*0.3</f>
        <v>15</v>
      </c>
      <c r="J25" s="293">
        <f>+J23-I25</f>
        <v>35</v>
      </c>
      <c r="K25" s="287"/>
      <c r="L25" s="324"/>
      <c r="M25" s="288"/>
    </row>
    <row r="26" spans="1:13">
      <c r="B26" s="279" t="s">
        <v>664</v>
      </c>
      <c r="C26" s="279"/>
      <c r="D26" s="280">
        <f>+D22+D25</f>
        <v>100</v>
      </c>
      <c r="I26" s="279" t="s">
        <v>664</v>
      </c>
      <c r="J26" s="280">
        <f>+J22+J25</f>
        <v>85</v>
      </c>
    </row>
    <row r="28" spans="1:13">
      <c r="A28" s="35" t="s">
        <v>187</v>
      </c>
    </row>
    <row r="29" spans="1:13">
      <c r="B29" s="35" t="s">
        <v>668</v>
      </c>
    </row>
    <row r="30" spans="1:13">
      <c r="B30" s="35" t="s">
        <v>669</v>
      </c>
    </row>
    <row r="32" spans="1:13">
      <c r="B32" s="50"/>
      <c r="C32" s="50"/>
      <c r="D32" s="50"/>
      <c r="E32" s="50"/>
      <c r="F32" s="50"/>
      <c r="I32" s="50"/>
      <c r="J32" s="50"/>
      <c r="K32" s="50"/>
      <c r="L32" s="50"/>
      <c r="M32" s="50"/>
    </row>
    <row r="33" spans="1:13">
      <c r="A33" s="35" t="s">
        <v>120</v>
      </c>
      <c r="B33" s="35" t="s">
        <v>379</v>
      </c>
      <c r="D33" s="35">
        <v>20</v>
      </c>
      <c r="E33" s="51" t="s">
        <v>29</v>
      </c>
      <c r="F33" s="35">
        <v>20</v>
      </c>
      <c r="H33" s="35" t="s">
        <v>283</v>
      </c>
      <c r="I33" s="35" t="s">
        <v>379</v>
      </c>
      <c r="J33" s="35">
        <v>20</v>
      </c>
      <c r="K33" s="51" t="s">
        <v>29</v>
      </c>
      <c r="L33" s="53"/>
      <c r="M33" s="35">
        <v>20</v>
      </c>
    </row>
    <row r="34" spans="1:13">
      <c r="E34" s="52"/>
      <c r="K34" s="52"/>
      <c r="L34" s="53"/>
    </row>
    <row r="35" spans="1:13">
      <c r="E35" s="52"/>
      <c r="K35" s="52"/>
      <c r="L35" s="53"/>
    </row>
    <row r="36" spans="1:13">
      <c r="B36" s="25" t="s">
        <v>664</v>
      </c>
      <c r="C36" s="25"/>
      <c r="D36" s="25">
        <f>+D33</f>
        <v>20</v>
      </c>
      <c r="I36" s="25" t="s">
        <v>664</v>
      </c>
      <c r="J36" s="25">
        <f>+J33-M34</f>
        <v>20</v>
      </c>
      <c r="K36" s="35" t="s">
        <v>671</v>
      </c>
    </row>
    <row r="39" spans="1:13">
      <c r="A39" s="35" t="s">
        <v>606</v>
      </c>
      <c r="B39" s="35" t="s">
        <v>672</v>
      </c>
      <c r="H39" s="35" t="s">
        <v>665</v>
      </c>
    </row>
    <row r="41" spans="1:13" ht="16.8" thickBot="1">
      <c r="B41" s="283" t="s">
        <v>658</v>
      </c>
      <c r="C41" s="321"/>
      <c r="D41" s="284">
        <v>260</v>
      </c>
      <c r="E41" s="283" t="s">
        <v>659</v>
      </c>
      <c r="F41" s="285">
        <v>350</v>
      </c>
      <c r="I41" s="283" t="s">
        <v>658</v>
      </c>
      <c r="J41" s="284">
        <v>260</v>
      </c>
      <c r="K41" s="283" t="s">
        <v>659</v>
      </c>
      <c r="L41" s="321"/>
      <c r="M41" s="285">
        <v>350</v>
      </c>
    </row>
    <row r="42" spans="1:13" ht="16.8" thickBot="1">
      <c r="B42" s="294" t="s">
        <v>319</v>
      </c>
      <c r="C42" s="338"/>
      <c r="D42" s="295">
        <v>30</v>
      </c>
      <c r="E42" s="282"/>
      <c r="F42" s="286"/>
      <c r="I42" s="294" t="s">
        <v>319</v>
      </c>
      <c r="J42" s="295">
        <v>30</v>
      </c>
      <c r="K42" s="282"/>
      <c r="L42" s="319"/>
      <c r="M42" s="286"/>
    </row>
    <row r="43" spans="1:13">
      <c r="B43" s="289" t="s">
        <v>660</v>
      </c>
      <c r="C43" s="279"/>
      <c r="D43" s="291">
        <f>+SUM(F41:F45)-D41-D42</f>
        <v>60</v>
      </c>
      <c r="E43" s="282"/>
      <c r="F43" s="286"/>
      <c r="I43" s="289" t="s">
        <v>660</v>
      </c>
      <c r="J43" s="291">
        <f>+SUM(M41:M45)-J41-J42</f>
        <v>60</v>
      </c>
      <c r="K43" s="282"/>
      <c r="L43" s="319"/>
      <c r="M43" s="286"/>
    </row>
    <row r="44" spans="1:13">
      <c r="B44" s="289" t="s">
        <v>86</v>
      </c>
      <c r="C44" s="279"/>
      <c r="D44" s="292" t="s">
        <v>661</v>
      </c>
      <c r="E44" s="282"/>
      <c r="F44" s="286"/>
      <c r="I44" s="289" t="s">
        <v>86</v>
      </c>
      <c r="J44" s="292" t="s">
        <v>661</v>
      </c>
      <c r="K44" s="282"/>
      <c r="L44" s="319"/>
      <c r="M44" s="286"/>
    </row>
    <row r="45" spans="1:13" ht="16.8" thickBot="1">
      <c r="B45" s="290"/>
      <c r="C45" s="279"/>
      <c r="D45" s="293">
        <f>+D43-B45</f>
        <v>60</v>
      </c>
      <c r="E45" s="287"/>
      <c r="F45" s="288"/>
      <c r="I45" s="290"/>
      <c r="J45" s="293">
        <f>+J43-I45</f>
        <v>60</v>
      </c>
      <c r="K45" s="287"/>
      <c r="L45" s="324"/>
      <c r="M45" s="288"/>
    </row>
    <row r="46" spans="1:13">
      <c r="B46" s="279" t="s">
        <v>664</v>
      </c>
      <c r="C46" s="279"/>
      <c r="D46" s="280">
        <f>+D42+D45</f>
        <v>90</v>
      </c>
      <c r="I46" s="279" t="s">
        <v>664</v>
      </c>
      <c r="J46" s="280">
        <f>+J42+J45</f>
        <v>90</v>
      </c>
    </row>
    <row r="47" spans="1:13">
      <c r="B47" s="50"/>
      <c r="C47" s="50"/>
      <c r="D47" s="50"/>
      <c r="E47" s="50"/>
      <c r="F47" s="50"/>
      <c r="I47" s="281" t="s">
        <v>674</v>
      </c>
      <c r="J47" s="50"/>
      <c r="K47" s="50"/>
      <c r="L47" s="50"/>
      <c r="M47" s="50"/>
    </row>
    <row r="48" spans="1:13">
      <c r="B48" s="35" t="s">
        <v>379</v>
      </c>
      <c r="D48" s="35">
        <v>15</v>
      </c>
      <c r="E48" s="52" t="s">
        <v>377</v>
      </c>
      <c r="F48" s="35">
        <f>+D48</f>
        <v>15</v>
      </c>
      <c r="I48" s="35" t="s">
        <v>379</v>
      </c>
      <c r="J48" s="35">
        <v>20</v>
      </c>
      <c r="K48" s="52" t="s">
        <v>29</v>
      </c>
      <c r="L48" s="53"/>
      <c r="M48" s="35">
        <v>35</v>
      </c>
    </row>
    <row r="49" spans="1:13">
      <c r="E49" s="52"/>
      <c r="I49" s="35" t="s">
        <v>380</v>
      </c>
      <c r="J49" s="35">
        <f>+M48-J48</f>
        <v>15</v>
      </c>
      <c r="K49" s="52"/>
      <c r="L49" s="53"/>
    </row>
    <row r="50" spans="1:13">
      <c r="B50" s="25" t="s">
        <v>673</v>
      </c>
      <c r="C50" s="25"/>
      <c r="D50" s="26">
        <f>+D46+D48</f>
        <v>105</v>
      </c>
      <c r="K50" s="53"/>
      <c r="L50" s="53"/>
    </row>
    <row r="51" spans="1:13">
      <c r="I51" s="25" t="s">
        <v>673</v>
      </c>
      <c r="J51" s="26">
        <f>+J46+J48</f>
        <v>110</v>
      </c>
      <c r="K51" s="53"/>
      <c r="L51" s="53"/>
    </row>
    <row r="54" spans="1:13">
      <c r="A54" s="35" t="s">
        <v>666</v>
      </c>
      <c r="H54" s="35" t="s">
        <v>667</v>
      </c>
    </row>
    <row r="56" spans="1:13" ht="16.8" thickBot="1">
      <c r="B56" s="283" t="s">
        <v>658</v>
      </c>
      <c r="C56" s="321"/>
      <c r="D56" s="284">
        <v>260</v>
      </c>
      <c r="E56" s="283" t="s">
        <v>659</v>
      </c>
      <c r="F56" s="285">
        <v>350</v>
      </c>
      <c r="I56" s="283" t="s">
        <v>658</v>
      </c>
      <c r="J56" s="284">
        <v>260</v>
      </c>
      <c r="K56" s="283" t="s">
        <v>659</v>
      </c>
      <c r="L56" s="321"/>
      <c r="M56" s="285">
        <v>350</v>
      </c>
    </row>
    <row r="57" spans="1:13" ht="16.8" thickBot="1">
      <c r="B57" s="294" t="s">
        <v>319</v>
      </c>
      <c r="C57" s="338"/>
      <c r="D57" s="295">
        <v>30</v>
      </c>
      <c r="E57" s="282"/>
      <c r="F57" s="286"/>
      <c r="I57" s="294" t="s">
        <v>319</v>
      </c>
      <c r="J57" s="295">
        <v>30</v>
      </c>
      <c r="K57" s="282"/>
      <c r="L57" s="319"/>
      <c r="M57" s="286"/>
    </row>
    <row r="58" spans="1:13">
      <c r="B58" s="289" t="s">
        <v>660</v>
      </c>
      <c r="C58" s="279"/>
      <c r="D58" s="291">
        <f>+SUM(F56:F60)-D56-D57</f>
        <v>60</v>
      </c>
      <c r="E58" s="282"/>
      <c r="F58" s="286"/>
      <c r="I58" s="289" t="s">
        <v>660</v>
      </c>
      <c r="J58" s="291">
        <f>+SUM(M56:M60)-J56-J57</f>
        <v>60</v>
      </c>
      <c r="K58" s="282"/>
      <c r="L58" s="319"/>
      <c r="M58" s="286"/>
    </row>
    <row r="59" spans="1:13">
      <c r="B59" s="289" t="s">
        <v>86</v>
      </c>
      <c r="C59" s="279"/>
      <c r="D59" s="292" t="s">
        <v>661</v>
      </c>
      <c r="E59" s="282"/>
      <c r="F59" s="286"/>
      <c r="I59" s="289" t="s">
        <v>86</v>
      </c>
      <c r="J59" s="292" t="s">
        <v>661</v>
      </c>
      <c r="K59" s="282"/>
      <c r="L59" s="319"/>
      <c r="M59" s="286"/>
    </row>
    <row r="60" spans="1:13" ht="16.8" thickBot="1">
      <c r="B60" s="290">
        <f>+D58*0.3</f>
        <v>18</v>
      </c>
      <c r="C60" s="279"/>
      <c r="D60" s="293">
        <f>+D58-B60</f>
        <v>42</v>
      </c>
      <c r="E60" s="287"/>
      <c r="F60" s="288"/>
      <c r="I60" s="290">
        <f>+J58*0.3</f>
        <v>18</v>
      </c>
      <c r="J60" s="293">
        <f>+J58-I60</f>
        <v>42</v>
      </c>
      <c r="K60" s="287"/>
      <c r="L60" s="324"/>
      <c r="M60" s="288"/>
    </row>
    <row r="61" spans="1:13">
      <c r="B61" s="279" t="s">
        <v>664</v>
      </c>
      <c r="C61" s="279"/>
      <c r="D61" s="280">
        <f>+D57+D60</f>
        <v>72</v>
      </c>
      <c r="I61" s="279" t="s">
        <v>664</v>
      </c>
      <c r="J61" s="280">
        <f>+J57+J60</f>
        <v>72</v>
      </c>
    </row>
    <row r="62" spans="1:13">
      <c r="B62" s="50"/>
      <c r="C62" s="50"/>
      <c r="D62" s="50"/>
      <c r="E62" s="50"/>
      <c r="F62" s="50"/>
      <c r="I62" s="50"/>
      <c r="J62" s="50"/>
      <c r="K62" s="50"/>
      <c r="L62" s="50"/>
      <c r="M62" s="50"/>
    </row>
    <row r="63" spans="1:13">
      <c r="B63" s="35" t="s">
        <v>379</v>
      </c>
      <c r="D63" s="35">
        <v>20</v>
      </c>
      <c r="E63" s="52" t="s">
        <v>29</v>
      </c>
      <c r="F63" s="35">
        <v>0</v>
      </c>
      <c r="I63" s="35" t="s">
        <v>379</v>
      </c>
      <c r="J63" s="35">
        <v>20</v>
      </c>
      <c r="K63" s="52" t="s">
        <v>29</v>
      </c>
      <c r="L63" s="53"/>
      <c r="M63" s="35">
        <v>30</v>
      </c>
    </row>
    <row r="64" spans="1:13">
      <c r="E64" s="52" t="s">
        <v>377</v>
      </c>
      <c r="F64" s="35">
        <f>+D63-F63</f>
        <v>20</v>
      </c>
      <c r="I64" s="35" t="s">
        <v>380</v>
      </c>
      <c r="J64" s="35">
        <f>+M63-J63</f>
        <v>10</v>
      </c>
      <c r="K64" s="52"/>
      <c r="L64" s="53"/>
    </row>
    <row r="65" spans="1:13">
      <c r="B65" s="53" t="s">
        <v>86</v>
      </c>
      <c r="C65" s="53"/>
      <c r="D65" s="35">
        <f>+F64*0.3</f>
        <v>6</v>
      </c>
      <c r="E65" s="53" t="s">
        <v>670</v>
      </c>
      <c r="F65" s="35">
        <f>+D65</f>
        <v>6</v>
      </c>
      <c r="I65" s="53" t="s">
        <v>670</v>
      </c>
      <c r="J65" s="35">
        <f>+M65</f>
        <v>3</v>
      </c>
      <c r="K65" s="53" t="s">
        <v>86</v>
      </c>
      <c r="L65" s="53"/>
      <c r="M65" s="35">
        <f>+J64*0.3</f>
        <v>3</v>
      </c>
    </row>
    <row r="67" spans="1:13">
      <c r="B67" s="25" t="s">
        <v>673</v>
      </c>
      <c r="C67" s="25"/>
      <c r="D67" s="26">
        <f>+D61+D63-F65</f>
        <v>86</v>
      </c>
      <c r="I67" s="25" t="s">
        <v>673</v>
      </c>
      <c r="J67" s="26">
        <f>+J61+J63+J65</f>
        <v>95</v>
      </c>
    </row>
    <row r="71" spans="1:13">
      <c r="A71" s="35" t="s">
        <v>675</v>
      </c>
      <c r="H71" s="35" t="s">
        <v>676</v>
      </c>
    </row>
    <row r="72" spans="1:13" ht="16.8" thickBot="1">
      <c r="B72" s="283"/>
      <c r="C72" s="321"/>
      <c r="D72" s="284"/>
      <c r="E72" s="283"/>
      <c r="F72" s="285"/>
      <c r="I72" s="283"/>
      <c r="J72" s="284"/>
      <c r="K72" s="283"/>
      <c r="L72" s="321"/>
      <c r="M72" s="285"/>
    </row>
    <row r="73" spans="1:13" ht="16.8" thickBot="1">
      <c r="B73" s="294" t="s">
        <v>319</v>
      </c>
      <c r="C73" s="338"/>
      <c r="D73" s="295">
        <v>10</v>
      </c>
      <c r="E73" s="282"/>
      <c r="F73" s="286"/>
      <c r="I73" s="294" t="s">
        <v>319</v>
      </c>
      <c r="J73" s="295">
        <v>10</v>
      </c>
      <c r="K73" s="282"/>
      <c r="L73" s="319"/>
      <c r="M73" s="286"/>
    </row>
    <row r="74" spans="1:13">
      <c r="B74" s="289" t="s">
        <v>660</v>
      </c>
      <c r="C74" s="279"/>
      <c r="D74" s="291">
        <v>80</v>
      </c>
      <c r="E74" s="282"/>
      <c r="F74" s="286"/>
      <c r="I74" s="289" t="s">
        <v>660</v>
      </c>
      <c r="J74" s="291">
        <v>80</v>
      </c>
      <c r="K74" s="282"/>
      <c r="L74" s="319"/>
      <c r="M74" s="286"/>
    </row>
    <row r="75" spans="1:13">
      <c r="B75" s="289" t="s">
        <v>86</v>
      </c>
      <c r="C75" s="279"/>
      <c r="D75" s="292" t="s">
        <v>661</v>
      </c>
      <c r="E75" s="282"/>
      <c r="F75" s="286"/>
      <c r="I75" s="289" t="s">
        <v>86</v>
      </c>
      <c r="J75" s="292" t="s">
        <v>661</v>
      </c>
      <c r="K75" s="282"/>
      <c r="L75" s="319"/>
      <c r="M75" s="286"/>
    </row>
    <row r="76" spans="1:13" ht="16.8" thickBot="1">
      <c r="B76" s="290"/>
      <c r="C76" s="279"/>
      <c r="D76" s="293">
        <f>+D74-B76</f>
        <v>80</v>
      </c>
      <c r="E76" s="287"/>
      <c r="F76" s="288"/>
      <c r="I76" s="290"/>
      <c r="J76" s="293">
        <f>+J74-I76</f>
        <v>80</v>
      </c>
      <c r="K76" s="287"/>
      <c r="L76" s="324"/>
      <c r="M76" s="288"/>
    </row>
    <row r="77" spans="1:13">
      <c r="B77" s="279" t="s">
        <v>664</v>
      </c>
      <c r="C77" s="279"/>
      <c r="D77" s="280">
        <f>+D73+D76</f>
        <v>90</v>
      </c>
      <c r="I77" s="279" t="s">
        <v>664</v>
      </c>
      <c r="J77" s="280">
        <f>+J73+J76</f>
        <v>90</v>
      </c>
    </row>
    <row r="78" spans="1:13">
      <c r="B78" s="50"/>
      <c r="C78" s="50"/>
      <c r="D78" s="50"/>
      <c r="E78" s="50"/>
      <c r="F78" s="50"/>
      <c r="I78" s="50"/>
      <c r="J78" s="50"/>
      <c r="K78" s="50"/>
      <c r="L78" s="50"/>
      <c r="M78" s="50"/>
    </row>
    <row r="79" spans="1:13">
      <c r="B79" s="35" t="s">
        <v>379</v>
      </c>
      <c r="D79" s="35">
        <v>15</v>
      </c>
      <c r="E79" s="52" t="s">
        <v>29</v>
      </c>
      <c r="F79" s="35">
        <v>0</v>
      </c>
      <c r="I79" s="35" t="s">
        <v>379</v>
      </c>
      <c r="J79" s="35">
        <v>20</v>
      </c>
      <c r="K79" s="52" t="s">
        <v>29</v>
      </c>
      <c r="L79" s="53"/>
      <c r="M79" s="35">
        <v>35</v>
      </c>
    </row>
    <row r="80" spans="1:13">
      <c r="E80" s="52" t="s">
        <v>377</v>
      </c>
      <c r="F80" s="35">
        <f>+D79-F79</f>
        <v>15</v>
      </c>
      <c r="I80" s="35" t="s">
        <v>380</v>
      </c>
      <c r="J80" s="35">
        <f>+M79-J79</f>
        <v>15</v>
      </c>
      <c r="K80" s="52" t="s">
        <v>677</v>
      </c>
      <c r="L80" s="53"/>
    </row>
    <row r="81" spans="1:13">
      <c r="B81" s="53"/>
      <c r="C81" s="53"/>
      <c r="E81" s="53"/>
      <c r="I81" s="53"/>
      <c r="K81" s="53"/>
      <c r="L81" s="53"/>
    </row>
    <row r="83" spans="1:13">
      <c r="B83" s="25" t="s">
        <v>673</v>
      </c>
      <c r="C83" s="25"/>
      <c r="D83" s="26">
        <f>+D77+D79</f>
        <v>105</v>
      </c>
      <c r="I83" s="25" t="s">
        <v>673</v>
      </c>
      <c r="J83" s="26">
        <f>+J77+J79</f>
        <v>110</v>
      </c>
    </row>
    <row r="85" spans="1:13">
      <c r="A85" s="35" t="s">
        <v>676</v>
      </c>
      <c r="H85" s="35" t="s">
        <v>676</v>
      </c>
    </row>
    <row r="86" spans="1:13" ht="16.8" thickBot="1">
      <c r="B86" s="283"/>
      <c r="C86" s="321"/>
      <c r="D86" s="284"/>
      <c r="E86" s="283"/>
      <c r="F86" s="285"/>
      <c r="I86" s="283"/>
      <c r="J86" s="284"/>
      <c r="K86" s="283"/>
      <c r="L86" s="321"/>
      <c r="M86" s="285"/>
    </row>
    <row r="87" spans="1:13" ht="16.8" thickBot="1">
      <c r="B87" s="294" t="s">
        <v>319</v>
      </c>
      <c r="C87" s="338"/>
      <c r="D87" s="295">
        <v>10</v>
      </c>
      <c r="E87" s="282"/>
      <c r="F87" s="286"/>
      <c r="I87" s="294" t="s">
        <v>319</v>
      </c>
      <c r="J87" s="295">
        <v>10</v>
      </c>
      <c r="K87" s="282"/>
      <c r="L87" s="319"/>
      <c r="M87" s="286"/>
    </row>
    <row r="88" spans="1:13">
      <c r="B88" s="289" t="s">
        <v>660</v>
      </c>
      <c r="C88" s="279"/>
      <c r="D88" s="291">
        <v>80</v>
      </c>
      <c r="E88" s="282"/>
      <c r="F88" s="286"/>
      <c r="I88" s="289" t="s">
        <v>660</v>
      </c>
      <c r="J88" s="291">
        <v>80</v>
      </c>
      <c r="K88" s="282"/>
      <c r="L88" s="319"/>
      <c r="M88" s="286"/>
    </row>
    <row r="89" spans="1:13">
      <c r="B89" s="289" t="s">
        <v>86</v>
      </c>
      <c r="C89" s="279"/>
      <c r="D89" s="292" t="s">
        <v>661</v>
      </c>
      <c r="E89" s="282"/>
      <c r="F89" s="286"/>
      <c r="I89" s="289" t="s">
        <v>86</v>
      </c>
      <c r="J89" s="292" t="s">
        <v>661</v>
      </c>
      <c r="K89" s="282"/>
      <c r="L89" s="319"/>
      <c r="M89" s="286"/>
    </row>
    <row r="90" spans="1:13" ht="16.8" thickBot="1">
      <c r="B90" s="290">
        <f>+D88*0.3</f>
        <v>24</v>
      </c>
      <c r="C90" s="279"/>
      <c r="D90" s="293">
        <f>+D88-B90</f>
        <v>56</v>
      </c>
      <c r="E90" s="287"/>
      <c r="F90" s="288"/>
      <c r="I90" s="290">
        <f>+J88*0.3</f>
        <v>24</v>
      </c>
      <c r="J90" s="293">
        <f>+J88-I90</f>
        <v>56</v>
      </c>
      <c r="K90" s="287"/>
      <c r="L90" s="324"/>
      <c r="M90" s="288"/>
    </row>
    <row r="91" spans="1:13">
      <c r="B91" s="279" t="s">
        <v>664</v>
      </c>
      <c r="C91" s="279"/>
      <c r="D91" s="280">
        <f>+D87+D90</f>
        <v>66</v>
      </c>
      <c r="I91" s="279" t="s">
        <v>664</v>
      </c>
      <c r="J91" s="280">
        <f>+J87+J90</f>
        <v>66</v>
      </c>
    </row>
    <row r="92" spans="1:13">
      <c r="B92" s="50"/>
      <c r="C92" s="50"/>
      <c r="D92" s="50"/>
      <c r="E92" s="50"/>
      <c r="F92" s="50"/>
      <c r="I92" s="50"/>
      <c r="J92" s="50"/>
      <c r="K92" s="50"/>
      <c r="L92" s="50"/>
      <c r="M92" s="50"/>
    </row>
    <row r="93" spans="1:13">
      <c r="B93" s="35" t="s">
        <v>379</v>
      </c>
      <c r="D93" s="35">
        <v>20</v>
      </c>
      <c r="E93" s="52" t="s">
        <v>29</v>
      </c>
      <c r="F93" s="35">
        <v>0</v>
      </c>
      <c r="I93" s="35" t="s">
        <v>379</v>
      </c>
      <c r="J93" s="35">
        <v>20</v>
      </c>
      <c r="K93" s="52" t="s">
        <v>29</v>
      </c>
      <c r="L93" s="53"/>
      <c r="M93" s="35">
        <v>30</v>
      </c>
    </row>
    <row r="94" spans="1:13">
      <c r="E94" s="52" t="s">
        <v>377</v>
      </c>
      <c r="F94" s="35">
        <f>+D93-F93</f>
        <v>20</v>
      </c>
      <c r="I94" s="35" t="s">
        <v>380</v>
      </c>
      <c r="J94" s="35">
        <f>+M93-J93</f>
        <v>10</v>
      </c>
      <c r="K94" s="52"/>
      <c r="L94" s="53"/>
    </row>
    <row r="95" spans="1:13">
      <c r="B95" s="53" t="s">
        <v>86</v>
      </c>
      <c r="C95" s="53"/>
      <c r="D95" s="35">
        <f>+F94*0.3</f>
        <v>6</v>
      </c>
      <c r="E95" s="53" t="s">
        <v>670</v>
      </c>
      <c r="F95" s="35">
        <f>+D95</f>
        <v>6</v>
      </c>
      <c r="I95" s="53" t="s">
        <v>670</v>
      </c>
      <c r="J95" s="35">
        <f>+M95</f>
        <v>3</v>
      </c>
      <c r="K95" s="53" t="s">
        <v>86</v>
      </c>
      <c r="L95" s="53"/>
      <c r="M95" s="35">
        <f>+J94*0.3</f>
        <v>3</v>
      </c>
    </row>
    <row r="97" spans="1:10">
      <c r="B97" s="25" t="s">
        <v>673</v>
      </c>
      <c r="C97" s="25"/>
      <c r="D97" s="26">
        <f>+D91+D93-F95</f>
        <v>80</v>
      </c>
      <c r="I97" s="25" t="s">
        <v>673</v>
      </c>
      <c r="J97" s="26">
        <f>+J91+J93+J95</f>
        <v>89</v>
      </c>
    </row>
    <row r="100" spans="1:10">
      <c r="A100" s="35" t="s">
        <v>188</v>
      </c>
    </row>
    <row r="101" spans="1:10">
      <c r="B101" s="35" t="s">
        <v>678</v>
      </c>
    </row>
    <row r="103" spans="1:10">
      <c r="A103" s="35" t="s">
        <v>120</v>
      </c>
      <c r="B103" s="35" t="s">
        <v>679</v>
      </c>
      <c r="D103" s="35">
        <v>-500</v>
      </c>
      <c r="F103" s="50" t="s">
        <v>682</v>
      </c>
      <c r="G103" s="50"/>
      <c r="H103" s="50"/>
      <c r="I103" s="50"/>
    </row>
    <row r="104" spans="1:10">
      <c r="B104" s="35" t="s">
        <v>680</v>
      </c>
      <c r="D104" s="35">
        <f>+G104+G106</f>
        <v>130</v>
      </c>
      <c r="F104" s="35" t="s">
        <v>681</v>
      </c>
      <c r="G104" s="35">
        <v>100</v>
      </c>
      <c r="H104" s="51" t="s">
        <v>29</v>
      </c>
      <c r="I104" s="35">
        <v>200</v>
      </c>
    </row>
    <row r="105" spans="1:10" ht="16.8" thickBot="1">
      <c r="B105" s="35" t="s">
        <v>683</v>
      </c>
      <c r="D105" s="54">
        <f>+SUM(D103:D104)</f>
        <v>-370</v>
      </c>
      <c r="F105" s="35" t="s">
        <v>380</v>
      </c>
      <c r="G105" s="35">
        <f>+I104-G104</f>
        <v>100</v>
      </c>
      <c r="H105" s="52"/>
    </row>
    <row r="106" spans="1:10" ht="16.8" thickTop="1">
      <c r="F106" s="35" t="s">
        <v>670</v>
      </c>
      <c r="G106" s="35">
        <f>+I106</f>
        <v>30</v>
      </c>
      <c r="H106" s="52" t="s">
        <v>86</v>
      </c>
      <c r="I106" s="35">
        <f>+G105*0.3</f>
        <v>30</v>
      </c>
    </row>
    <row r="108" spans="1:10">
      <c r="A108" s="35" t="s">
        <v>283</v>
      </c>
      <c r="B108" s="35" t="s">
        <v>679</v>
      </c>
      <c r="D108" s="35">
        <v>-500</v>
      </c>
      <c r="F108" s="50" t="s">
        <v>682</v>
      </c>
      <c r="G108" s="50"/>
      <c r="H108" s="50"/>
      <c r="I108" s="50"/>
    </row>
    <row r="109" spans="1:10">
      <c r="B109" s="35" t="s">
        <v>680</v>
      </c>
      <c r="D109" s="35">
        <f>+G109+G111</f>
        <v>60</v>
      </c>
      <c r="F109" s="35" t="s">
        <v>681</v>
      </c>
      <c r="G109" s="35">
        <v>0</v>
      </c>
      <c r="H109" s="51" t="s">
        <v>29</v>
      </c>
      <c r="I109" s="35">
        <v>200</v>
      </c>
    </row>
    <row r="110" spans="1:10" ht="16.8" thickBot="1">
      <c r="B110" s="35" t="s">
        <v>683</v>
      </c>
      <c r="D110" s="54">
        <f>+SUM(D108:D109)</f>
        <v>-440</v>
      </c>
      <c r="F110" s="35" t="s">
        <v>380</v>
      </c>
      <c r="G110" s="35">
        <f>+I109-G109</f>
        <v>200</v>
      </c>
      <c r="H110" s="52"/>
    </row>
    <row r="111" spans="1:10" ht="16.8" thickTop="1">
      <c r="F111" s="35" t="s">
        <v>670</v>
      </c>
      <c r="G111" s="35">
        <f>+I111</f>
        <v>60</v>
      </c>
      <c r="H111" s="52" t="s">
        <v>86</v>
      </c>
      <c r="I111" s="35">
        <f>+G110*0.3</f>
        <v>60</v>
      </c>
    </row>
    <row r="113" spans="1:9">
      <c r="A113" s="35" t="s">
        <v>606</v>
      </c>
      <c r="B113" s="35" t="s">
        <v>684</v>
      </c>
    </row>
    <row r="114" spans="1:9">
      <c r="D114" s="35" t="s">
        <v>687</v>
      </c>
      <c r="E114" s="35" t="s">
        <v>688</v>
      </c>
    </row>
    <row r="115" spans="1:9">
      <c r="B115" s="35" t="s">
        <v>686</v>
      </c>
      <c r="D115" s="35">
        <v>150</v>
      </c>
      <c r="E115" s="35">
        <f>+D115*0.7</f>
        <v>105</v>
      </c>
    </row>
    <row r="116" spans="1:9">
      <c r="E116" s="35" t="s">
        <v>690</v>
      </c>
    </row>
    <row r="117" spans="1:9">
      <c r="B117" s="35" t="s">
        <v>685</v>
      </c>
      <c r="D117" s="35">
        <v>-60</v>
      </c>
      <c r="E117" s="35">
        <f>+D117*0.3</f>
        <v>-18</v>
      </c>
      <c r="F117" s="35" t="s">
        <v>691</v>
      </c>
    </row>
    <row r="118" spans="1:9">
      <c r="B118" s="35" t="s">
        <v>689</v>
      </c>
      <c r="D118" s="35">
        <v>120</v>
      </c>
      <c r="E118" s="35">
        <f>+D118*0.3</f>
        <v>36</v>
      </c>
    </row>
    <row r="119" spans="1:9" ht="16.8" thickBot="1">
      <c r="B119" s="35" t="s">
        <v>683</v>
      </c>
      <c r="E119" s="54">
        <f>+SUM(E115:E118)</f>
        <v>123</v>
      </c>
    </row>
    <row r="120" spans="1:9" ht="16.8" thickTop="1"/>
    <row r="121" spans="1:9">
      <c r="A121" s="35" t="s">
        <v>693</v>
      </c>
    </row>
    <row r="122" spans="1:9">
      <c r="B122" s="35" t="s">
        <v>694</v>
      </c>
    </row>
    <row r="124" spans="1:9">
      <c r="A124" s="35" t="s">
        <v>706</v>
      </c>
      <c r="D124" s="296"/>
      <c r="E124" s="298" t="s">
        <v>696</v>
      </c>
      <c r="F124" s="298" t="s">
        <v>698</v>
      </c>
      <c r="G124" s="298" t="s">
        <v>700</v>
      </c>
      <c r="H124" s="298" t="s">
        <v>702</v>
      </c>
      <c r="I124" s="299" t="s">
        <v>704</v>
      </c>
    </row>
    <row r="125" spans="1:9">
      <c r="D125" s="297"/>
      <c r="E125" s="55">
        <v>10</v>
      </c>
      <c r="F125" s="55">
        <v>10</v>
      </c>
      <c r="G125" s="55">
        <v>15</v>
      </c>
      <c r="H125" s="55">
        <v>15</v>
      </c>
      <c r="I125" s="51">
        <v>15</v>
      </c>
    </row>
    <row r="127" spans="1:9">
      <c r="F127" s="35">
        <f>+G125*G127</f>
        <v>38.656500000000001</v>
      </c>
      <c r="G127" s="498">
        <v>2.5771000000000002</v>
      </c>
      <c r="H127" s="499"/>
      <c r="I127" s="500"/>
    </row>
    <row r="128" spans="1:9">
      <c r="D128" s="300">
        <f>+SUM(F125:F127)*F128</f>
        <v>41.713217450000002</v>
      </c>
      <c r="F128" s="301">
        <v>0.85729999999999995</v>
      </c>
    </row>
    <row r="129" spans="1:10">
      <c r="D129" s="300">
        <f>+E125*E129</f>
        <v>9.2592592592592577</v>
      </c>
      <c r="E129" s="303">
        <f>1/1.08</f>
        <v>0.92592592592592582</v>
      </c>
    </row>
    <row r="130" spans="1:10" ht="16.8" thickBot="1">
      <c r="B130" s="305" t="s">
        <v>705</v>
      </c>
      <c r="C130" s="305"/>
      <c r="D130" s="306">
        <f>+SUM(D128:D129)</f>
        <v>50.972476709259261</v>
      </c>
    </row>
    <row r="131" spans="1:10" ht="16.8" thickTop="1"/>
    <row r="132" spans="1:10">
      <c r="A132" s="35" t="s">
        <v>707</v>
      </c>
    </row>
    <row r="133" spans="1:10">
      <c r="D133" s="296"/>
      <c r="E133" s="298" t="s">
        <v>696</v>
      </c>
      <c r="F133" s="298" t="s">
        <v>697</v>
      </c>
      <c r="G133" s="298" t="s">
        <v>699</v>
      </c>
      <c r="H133" s="298" t="s">
        <v>701</v>
      </c>
      <c r="I133" s="298" t="s">
        <v>704</v>
      </c>
      <c r="J133" s="299" t="s">
        <v>709</v>
      </c>
    </row>
    <row r="134" spans="1:10">
      <c r="D134" s="297"/>
      <c r="E134" s="55">
        <v>5</v>
      </c>
      <c r="F134" s="55">
        <v>5</v>
      </c>
      <c r="G134" s="55">
        <v>5</v>
      </c>
      <c r="H134" s="55">
        <v>12</v>
      </c>
      <c r="I134" s="55">
        <v>12</v>
      </c>
      <c r="J134" s="51">
        <v>12</v>
      </c>
    </row>
    <row r="136" spans="1:10">
      <c r="D136" s="302">
        <f>+G136*G137</f>
        <v>24.548423760000002</v>
      </c>
      <c r="G136" s="35">
        <f>+H134*H136</f>
        <v>30.925200000000004</v>
      </c>
      <c r="H136" s="498">
        <v>2.5771000000000002</v>
      </c>
      <c r="I136" s="499"/>
      <c r="J136" s="500"/>
    </row>
    <row r="137" spans="1:10">
      <c r="D137" s="302">
        <f>+G134*G137</f>
        <v>3.9689999999999999</v>
      </c>
      <c r="G137" s="301">
        <v>0.79379999999999995</v>
      </c>
    </row>
    <row r="138" spans="1:10">
      <c r="D138" s="302">
        <f>+F134*F138</f>
        <v>4.2865000000000002</v>
      </c>
      <c r="F138" s="301">
        <v>0.85729999999999995</v>
      </c>
    </row>
    <row r="139" spans="1:10">
      <c r="D139" s="302">
        <f>+E134*E139</f>
        <v>4.6296296296296289</v>
      </c>
      <c r="E139" s="303">
        <f>1/1.08</f>
        <v>0.92592592592592582</v>
      </c>
    </row>
    <row r="140" spans="1:10" ht="16.8" thickBot="1">
      <c r="B140" s="305" t="s">
        <v>705</v>
      </c>
      <c r="C140" s="305"/>
      <c r="D140" s="307">
        <f>+SUM(D136:D139)</f>
        <v>37.43355338962963</v>
      </c>
    </row>
    <row r="141" spans="1:10" ht="16.8" thickTop="1"/>
    <row r="143" spans="1:10">
      <c r="A143" s="35" t="s">
        <v>710</v>
      </c>
    </row>
    <row r="144" spans="1:10">
      <c r="D144" s="296"/>
      <c r="E144" s="298" t="s">
        <v>696</v>
      </c>
      <c r="F144" s="298" t="s">
        <v>697</v>
      </c>
      <c r="G144" s="298" t="s">
        <v>699</v>
      </c>
      <c r="H144" s="298" t="s">
        <v>701</v>
      </c>
      <c r="I144" s="298" t="s">
        <v>704</v>
      </c>
      <c r="J144" s="299" t="s">
        <v>709</v>
      </c>
    </row>
    <row r="145" spans="1:13">
      <c r="D145" s="297"/>
      <c r="E145" s="55">
        <v>5</v>
      </c>
      <c r="F145" s="55">
        <v>10</v>
      </c>
      <c r="G145" s="55">
        <v>10</v>
      </c>
      <c r="H145" s="55">
        <v>10</v>
      </c>
      <c r="I145" s="55">
        <v>10</v>
      </c>
      <c r="J145" s="51">
        <v>10</v>
      </c>
    </row>
    <row r="147" spans="1:13">
      <c r="D147" s="302"/>
      <c r="E147" s="35">
        <f>+F145*F147</f>
        <v>39.927</v>
      </c>
      <c r="F147" s="498">
        <v>3.9927000000000001</v>
      </c>
      <c r="G147" s="499"/>
      <c r="H147" s="499"/>
      <c r="I147" s="499"/>
      <c r="J147" s="500"/>
    </row>
    <row r="148" spans="1:13">
      <c r="D148" s="302">
        <f>+SUM(E145:E147)*E148</f>
        <v>41.599074074074068</v>
      </c>
      <c r="E148" s="303">
        <f>1/1.08</f>
        <v>0.92592592592592582</v>
      </c>
    </row>
    <row r="149" spans="1:13" ht="16.8" thickBot="1">
      <c r="B149" s="305" t="s">
        <v>705</v>
      </c>
      <c r="C149" s="305"/>
      <c r="D149" s="307">
        <f>+SUM(D147:D148)</f>
        <v>41.599074074074068</v>
      </c>
    </row>
    <row r="150" spans="1:13" ht="16.8" thickTop="1"/>
    <row r="152" spans="1:13">
      <c r="A152" s="35" t="s">
        <v>711</v>
      </c>
    </row>
    <row r="153" spans="1:13">
      <c r="D153" s="296"/>
      <c r="E153" s="298" t="s">
        <v>696</v>
      </c>
      <c r="F153" s="298" t="s">
        <v>697</v>
      </c>
      <c r="G153" s="298" t="s">
        <v>699</v>
      </c>
      <c r="H153" s="298" t="s">
        <v>701</v>
      </c>
      <c r="I153" s="298" t="s">
        <v>704</v>
      </c>
      <c r="J153" s="299" t="s">
        <v>709</v>
      </c>
    </row>
    <row r="154" spans="1:13">
      <c r="D154" s="297"/>
      <c r="E154" s="55">
        <v>10</v>
      </c>
      <c r="F154" s="55">
        <v>10</v>
      </c>
      <c r="G154" s="55">
        <v>10</v>
      </c>
      <c r="H154" s="55">
        <v>10</v>
      </c>
      <c r="I154" s="55">
        <v>10</v>
      </c>
      <c r="J154" s="51">
        <v>10</v>
      </c>
    </row>
    <row r="155" spans="1:13">
      <c r="D155" s="53"/>
      <c r="E155" s="53">
        <v>5</v>
      </c>
      <c r="F155" s="53"/>
      <c r="G155" s="53"/>
      <c r="H155" s="53"/>
      <c r="I155" s="53"/>
      <c r="J155" s="53"/>
    </row>
    <row r="157" spans="1:13">
      <c r="D157" s="308">
        <f>+E154*E157</f>
        <v>43.552999999999997</v>
      </c>
      <c r="E157" s="470">
        <v>4.3552999999999997</v>
      </c>
      <c r="F157" s="471"/>
      <c r="G157" s="471"/>
      <c r="H157" s="471"/>
      <c r="I157" s="471"/>
      <c r="J157" s="472"/>
    </row>
    <row r="158" spans="1:13" s="36" customFormat="1">
      <c r="A158" s="35"/>
      <c r="B158" s="35"/>
      <c r="C158" s="35"/>
      <c r="D158" s="308">
        <f>+E155*E158</f>
        <v>4.5455000000000005</v>
      </c>
      <c r="E158" s="309">
        <v>0.90910000000000002</v>
      </c>
      <c r="F158" s="308"/>
      <c r="G158" s="308"/>
      <c r="H158" s="308"/>
      <c r="I158" s="308"/>
      <c r="J158" s="308"/>
      <c r="M158" s="35"/>
    </row>
    <row r="159" spans="1:13" s="36" customFormat="1" ht="16.8" thickBot="1">
      <c r="A159" s="35"/>
      <c r="B159" s="305" t="s">
        <v>705</v>
      </c>
      <c r="C159" s="305"/>
      <c r="D159" s="310">
        <f>+SUM(D157:D158)</f>
        <v>48.098500000000001</v>
      </c>
      <c r="E159" s="35"/>
      <c r="F159" s="35"/>
      <c r="G159" s="35"/>
      <c r="H159" s="35"/>
      <c r="I159" s="35"/>
      <c r="J159" s="35"/>
    </row>
    <row r="160" spans="1:13" s="36" customFormat="1" ht="16.8" thickTop="1"/>
    <row r="161" spans="1:10" s="36" customFormat="1"/>
    <row r="162" spans="1:10" s="36" customFormat="1">
      <c r="A162" s="35" t="s">
        <v>712</v>
      </c>
      <c r="B162" s="35"/>
      <c r="C162" s="35"/>
      <c r="D162" s="35"/>
      <c r="E162" s="35"/>
      <c r="F162" s="35"/>
      <c r="G162" s="35"/>
      <c r="H162" s="35"/>
      <c r="I162" s="35"/>
      <c r="J162" s="35"/>
    </row>
    <row r="163" spans="1:10" s="36" customFormat="1">
      <c r="A163" s="35"/>
      <c r="B163" s="35"/>
      <c r="C163" s="35"/>
      <c r="D163" s="296"/>
      <c r="E163" s="298" t="s">
        <v>696</v>
      </c>
      <c r="F163" s="298" t="s">
        <v>697</v>
      </c>
      <c r="G163" s="298" t="s">
        <v>699</v>
      </c>
      <c r="H163" s="298" t="s">
        <v>701</v>
      </c>
      <c r="I163" s="298" t="s">
        <v>704</v>
      </c>
      <c r="J163" s="299" t="s">
        <v>709</v>
      </c>
    </row>
    <row r="164" spans="1:10" s="36" customFormat="1">
      <c r="A164" s="35"/>
      <c r="B164" s="35"/>
      <c r="C164" s="35"/>
      <c r="D164" s="297"/>
      <c r="E164" s="55">
        <v>10</v>
      </c>
      <c r="F164" s="55">
        <v>10</v>
      </c>
      <c r="G164" s="55">
        <v>10</v>
      </c>
      <c r="H164" s="55">
        <v>10</v>
      </c>
      <c r="I164" s="55">
        <v>10</v>
      </c>
      <c r="J164" s="51">
        <v>10</v>
      </c>
    </row>
    <row r="165" spans="1:10" s="36" customFormat="1">
      <c r="A165" s="35"/>
      <c r="B165" s="35"/>
      <c r="C165" s="35"/>
      <c r="D165" s="53"/>
      <c r="E165" s="53">
        <v>-5</v>
      </c>
      <c r="F165" s="53"/>
      <c r="G165" s="53"/>
      <c r="H165" s="53"/>
      <c r="I165" s="53"/>
      <c r="J165" s="53"/>
    </row>
    <row r="166" spans="1:10" s="36" customFormat="1">
      <c r="A166" s="35"/>
      <c r="B166" s="35"/>
      <c r="C166" s="35"/>
      <c r="D166" s="35"/>
      <c r="E166" s="35"/>
      <c r="F166" s="35"/>
      <c r="G166" s="35"/>
      <c r="H166" s="35"/>
      <c r="I166" s="35"/>
      <c r="J166" s="35"/>
    </row>
    <row r="167" spans="1:10" s="36" customFormat="1">
      <c r="A167" s="35"/>
      <c r="B167" s="35"/>
      <c r="C167" s="35"/>
      <c r="D167" s="308">
        <f>+E164*E167</f>
        <v>43.552999999999997</v>
      </c>
      <c r="E167" s="470">
        <v>4.3552999999999997</v>
      </c>
      <c r="F167" s="471"/>
      <c r="G167" s="471"/>
      <c r="H167" s="471"/>
      <c r="I167" s="471"/>
      <c r="J167" s="472"/>
    </row>
    <row r="168" spans="1:10" s="36" customFormat="1">
      <c r="A168" s="35"/>
      <c r="B168" s="35"/>
      <c r="C168" s="35"/>
      <c r="D168" s="308">
        <f>+E165*E168</f>
        <v>-4.5455000000000005</v>
      </c>
      <c r="E168" s="309">
        <v>0.90910000000000002</v>
      </c>
      <c r="F168" s="308"/>
      <c r="G168" s="308"/>
      <c r="H168" s="308"/>
      <c r="I168" s="308"/>
      <c r="J168" s="308"/>
    </row>
    <row r="169" spans="1:10" s="36" customFormat="1" ht="16.8" thickBot="1">
      <c r="A169" s="35"/>
      <c r="B169" s="305" t="s">
        <v>705</v>
      </c>
      <c r="C169" s="305"/>
      <c r="D169" s="310">
        <f>+SUM(D167:D168)</f>
        <v>39.007499999999993</v>
      </c>
      <c r="E169" s="35"/>
      <c r="F169" s="35"/>
      <c r="G169" s="35"/>
      <c r="H169" s="35"/>
      <c r="I169" s="35"/>
      <c r="J169" s="35"/>
    </row>
    <row r="170" spans="1:10" s="36" customFormat="1" ht="16.8" thickTop="1"/>
    <row r="171" spans="1:10" s="36" customFormat="1">
      <c r="A171" s="36" t="s">
        <v>713</v>
      </c>
    </row>
    <row r="172" spans="1:10" s="36" customFormat="1">
      <c r="B172" s="36" t="s">
        <v>717</v>
      </c>
    </row>
    <row r="173" spans="1:10" s="36" customFormat="1">
      <c r="B173" s="36" t="s">
        <v>714</v>
      </c>
      <c r="D173" s="36">
        <v>4000</v>
      </c>
    </row>
    <row r="174" spans="1:10" s="36" customFormat="1">
      <c r="D174" s="296"/>
      <c r="E174" s="298" t="s">
        <v>696</v>
      </c>
      <c r="F174" s="298" t="s">
        <v>697</v>
      </c>
      <c r="G174" s="298" t="s">
        <v>699</v>
      </c>
      <c r="H174" s="298" t="s">
        <v>701</v>
      </c>
      <c r="I174" s="298" t="s">
        <v>704</v>
      </c>
    </row>
    <row r="175" spans="1:10" s="36" customFormat="1">
      <c r="D175" s="297"/>
      <c r="E175" s="55"/>
      <c r="F175" s="55"/>
      <c r="G175" s="55"/>
      <c r="H175" s="55"/>
      <c r="I175" s="55"/>
    </row>
    <row r="176" spans="1:10" s="36" customFormat="1">
      <c r="B176" s="36" t="s">
        <v>715</v>
      </c>
      <c r="E176" s="36">
        <f>+D173/5</f>
        <v>800</v>
      </c>
      <c r="F176" s="36">
        <f>+E176</f>
        <v>800</v>
      </c>
      <c r="G176" s="36">
        <f t="shared" ref="G176:I176" si="0">+F176</f>
        <v>800</v>
      </c>
      <c r="H176" s="36">
        <f t="shared" si="0"/>
        <v>800</v>
      </c>
      <c r="I176" s="36">
        <f t="shared" si="0"/>
        <v>800</v>
      </c>
      <c r="J176" s="36" t="s">
        <v>716</v>
      </c>
    </row>
    <row r="177" spans="1:10" s="36" customFormat="1">
      <c r="B177" s="36" t="s">
        <v>718</v>
      </c>
      <c r="E177" s="36">
        <v>1000</v>
      </c>
      <c r="F177" s="36">
        <v>1000</v>
      </c>
      <c r="G177" s="36">
        <v>1000</v>
      </c>
      <c r="H177" s="36">
        <v>1000</v>
      </c>
      <c r="I177" s="36">
        <v>1000</v>
      </c>
    </row>
    <row r="178" spans="1:10" s="36" customFormat="1">
      <c r="D178" s="36">
        <f>+E177*E178</f>
        <v>3790</v>
      </c>
      <c r="E178" s="495">
        <v>3.79</v>
      </c>
      <c r="F178" s="496"/>
      <c r="G178" s="496"/>
      <c r="H178" s="496"/>
      <c r="I178" s="497"/>
    </row>
    <row r="179" spans="1:10" s="36" customFormat="1" ht="16.8" thickBot="1">
      <c r="B179" s="36" t="s">
        <v>719</v>
      </c>
      <c r="D179" s="46">
        <f>+D178-D173</f>
        <v>-210</v>
      </c>
    </row>
    <row r="180" spans="1:10" s="36" customFormat="1" ht="16.8" thickTop="1"/>
    <row r="181" spans="1:10" s="36" customFormat="1"/>
    <row r="182" spans="1:10" s="36" customFormat="1">
      <c r="A182" s="36" t="s">
        <v>720</v>
      </c>
    </row>
    <row r="183" spans="1:10" s="36" customFormat="1">
      <c r="B183" s="36" t="s">
        <v>714</v>
      </c>
      <c r="D183" s="36">
        <v>2000</v>
      </c>
    </row>
    <row r="184" spans="1:10" s="36" customFormat="1">
      <c r="D184" s="296"/>
      <c r="E184" s="298" t="s">
        <v>696</v>
      </c>
      <c r="F184" s="298" t="s">
        <v>697</v>
      </c>
      <c r="G184" s="298" t="s">
        <v>699</v>
      </c>
      <c r="H184" s="298" t="s">
        <v>701</v>
      </c>
      <c r="I184" s="298" t="s">
        <v>704</v>
      </c>
    </row>
    <row r="185" spans="1:10" s="36" customFormat="1">
      <c r="D185" s="297"/>
      <c r="E185" s="55"/>
      <c r="F185" s="55"/>
      <c r="G185" s="55"/>
      <c r="H185" s="55"/>
      <c r="I185" s="55"/>
    </row>
    <row r="186" spans="1:10" s="36" customFormat="1"/>
    <row r="187" spans="1:10" s="36" customFormat="1">
      <c r="D187" s="36">
        <f>+H194*E187</f>
        <v>2843.1</v>
      </c>
      <c r="E187" s="490">
        <v>3.7907999999999999</v>
      </c>
      <c r="F187" s="491"/>
      <c r="G187" s="491"/>
      <c r="H187" s="491"/>
      <c r="I187" s="492"/>
    </row>
    <row r="188" spans="1:10" s="36" customFormat="1" ht="16.8" thickBot="1">
      <c r="B188" s="36" t="s">
        <v>719</v>
      </c>
      <c r="D188" s="312">
        <f>+D187-D183</f>
        <v>843.09999999999991</v>
      </c>
      <c r="J188" s="311" t="s">
        <v>721</v>
      </c>
    </row>
    <row r="189" spans="1:10" s="36" customFormat="1" ht="17.399999999999999" thickTop="1" thickBot="1">
      <c r="G189" s="283" t="s">
        <v>658</v>
      </c>
      <c r="H189" s="284">
        <v>300</v>
      </c>
      <c r="I189" s="283" t="s">
        <v>659</v>
      </c>
      <c r="J189" s="285">
        <v>1200</v>
      </c>
    </row>
    <row r="190" spans="1:10" s="36" customFormat="1" ht="16.8" thickBot="1">
      <c r="G190" s="294" t="s">
        <v>319</v>
      </c>
      <c r="H190" s="295">
        <f>+D183/5</f>
        <v>400</v>
      </c>
      <c r="I190" s="282"/>
      <c r="J190" s="286"/>
    </row>
    <row r="191" spans="1:10" s="36" customFormat="1">
      <c r="G191" s="289" t="s">
        <v>660</v>
      </c>
      <c r="H191" s="291">
        <f>+SUM(J189:J193)-H189-H190</f>
        <v>500</v>
      </c>
      <c r="I191" s="282"/>
      <c r="J191" s="286"/>
    </row>
    <row r="192" spans="1:10" s="36" customFormat="1">
      <c r="G192" s="289" t="s">
        <v>86</v>
      </c>
      <c r="H192" s="292" t="s">
        <v>661</v>
      </c>
      <c r="I192" s="282"/>
      <c r="J192" s="286"/>
    </row>
    <row r="193" spans="1:10" s="36" customFormat="1" ht="16.8" thickBot="1">
      <c r="G193" s="290">
        <f>+H191*0.3</f>
        <v>150</v>
      </c>
      <c r="H193" s="293">
        <f>+H191-G193</f>
        <v>350</v>
      </c>
      <c r="I193" s="287"/>
      <c r="J193" s="288"/>
    </row>
    <row r="194" spans="1:10" s="36" customFormat="1">
      <c r="G194" s="279" t="s">
        <v>664</v>
      </c>
      <c r="H194" s="280">
        <f>+H190+H193</f>
        <v>750</v>
      </c>
      <c r="I194" s="35"/>
      <c r="J194" s="35"/>
    </row>
    <row r="195" spans="1:10" s="36" customFormat="1"/>
    <row r="196" spans="1:10" s="36" customFormat="1">
      <c r="A196" s="36" t="s">
        <v>722</v>
      </c>
      <c r="B196" s="36" t="s">
        <v>729</v>
      </c>
    </row>
    <row r="197" spans="1:10" s="36" customFormat="1">
      <c r="B197" s="36" t="s">
        <v>714</v>
      </c>
      <c r="D197" s="36">
        <v>40</v>
      </c>
    </row>
    <row r="198" spans="1:10" s="36" customFormat="1">
      <c r="D198" s="296"/>
      <c r="E198" s="298" t="s">
        <v>696</v>
      </c>
      <c r="F198" s="298" t="s">
        <v>697</v>
      </c>
      <c r="G198" s="298" t="s">
        <v>699</v>
      </c>
      <c r="H198" s="298" t="s">
        <v>701</v>
      </c>
    </row>
    <row r="199" spans="1:10" s="36" customFormat="1">
      <c r="D199" s="297"/>
      <c r="E199" s="55"/>
      <c r="F199" s="55"/>
      <c r="G199" s="55"/>
      <c r="H199" s="55"/>
    </row>
    <row r="200" spans="1:10" s="36" customFormat="1">
      <c r="E200" s="36">
        <f>+$H$210</f>
        <v>17</v>
      </c>
      <c r="F200" s="36">
        <f t="shared" ref="F200:H200" si="1">+$H$210</f>
        <v>17</v>
      </c>
      <c r="G200" s="36">
        <f t="shared" si="1"/>
        <v>17</v>
      </c>
      <c r="H200" s="36">
        <f t="shared" si="1"/>
        <v>17</v>
      </c>
    </row>
    <row r="201" spans="1:10" s="36" customFormat="1">
      <c r="D201" s="36" t="s">
        <v>726</v>
      </c>
      <c r="E201" s="308">
        <v>0.90910000000000002</v>
      </c>
      <c r="F201" s="308">
        <v>0.82640000000000002</v>
      </c>
      <c r="G201" s="308">
        <v>0.75129999999999997</v>
      </c>
      <c r="H201" s="308">
        <v>0.68300000000000005</v>
      </c>
      <c r="J201" s="311"/>
    </row>
    <row r="202" spans="1:10" s="36" customFormat="1">
      <c r="D202" s="36" t="s">
        <v>705</v>
      </c>
      <c r="E202" s="313">
        <f>+E200*E201</f>
        <v>15.454700000000001</v>
      </c>
      <c r="F202" s="313">
        <f t="shared" ref="F202:H202" si="2">+F200*F201</f>
        <v>14.0488</v>
      </c>
      <c r="G202" s="313">
        <f t="shared" si="2"/>
        <v>12.7721</v>
      </c>
      <c r="H202" s="313">
        <f t="shared" si="2"/>
        <v>11.611000000000001</v>
      </c>
      <c r="J202" s="311"/>
    </row>
    <row r="203" spans="1:10" s="36" customFormat="1">
      <c r="J203" s="311"/>
    </row>
    <row r="204" spans="1:10" s="36" customFormat="1">
      <c r="J204" s="311"/>
    </row>
    <row r="205" spans="1:10" s="36" customFormat="1" ht="16.8" thickBot="1">
      <c r="A205" s="36" t="s">
        <v>706</v>
      </c>
      <c r="B205" s="36" t="s">
        <v>723</v>
      </c>
      <c r="D205" s="36" t="s">
        <v>724</v>
      </c>
      <c r="G205" s="283" t="s">
        <v>658</v>
      </c>
      <c r="H205" s="284">
        <v>30</v>
      </c>
      <c r="I205" s="283" t="s">
        <v>659</v>
      </c>
      <c r="J205" s="285">
        <v>50</v>
      </c>
    </row>
    <row r="206" spans="1:10" s="36" customFormat="1" ht="16.8" thickBot="1">
      <c r="D206" s="313">
        <f>2+F206</f>
        <v>2.3529411764705883</v>
      </c>
      <c r="E206" s="36" t="s">
        <v>725</v>
      </c>
      <c r="F206" s="313">
        <f>+(D197-SUM(E200:F200))/G200</f>
        <v>0.35294117647058826</v>
      </c>
      <c r="G206" s="294" t="s">
        <v>319</v>
      </c>
      <c r="H206" s="295">
        <f>+D197/4</f>
        <v>10</v>
      </c>
      <c r="I206" s="282"/>
      <c r="J206" s="286"/>
    </row>
    <row r="207" spans="1:10" s="36" customFormat="1">
      <c r="G207" s="289" t="s">
        <v>660</v>
      </c>
      <c r="H207" s="291">
        <f>+SUM(J205:J209)-H205-H206</f>
        <v>10</v>
      </c>
      <c r="I207" s="282"/>
      <c r="J207" s="286"/>
    </row>
    <row r="208" spans="1:10" s="36" customFormat="1">
      <c r="A208" s="36" t="s">
        <v>707</v>
      </c>
      <c r="B208" s="36" t="s">
        <v>727</v>
      </c>
      <c r="D208" s="36" t="s">
        <v>728</v>
      </c>
      <c r="G208" s="289" t="s">
        <v>86</v>
      </c>
      <c r="H208" s="292" t="s">
        <v>661</v>
      </c>
      <c r="I208" s="282"/>
      <c r="J208" s="286"/>
    </row>
    <row r="209" spans="1:13" s="36" customFormat="1" ht="16.8" thickBot="1">
      <c r="D209" s="313">
        <f>2+F209</f>
        <v>2.821830395941153</v>
      </c>
      <c r="E209" s="36" t="s">
        <v>725</v>
      </c>
      <c r="F209" s="313">
        <f>+(D197-SUM(E202:F202))/G202</f>
        <v>0.82183039594115281</v>
      </c>
      <c r="G209" s="290">
        <f>+H207*0.3</f>
        <v>3</v>
      </c>
      <c r="H209" s="293">
        <f>+H207-G209</f>
        <v>7</v>
      </c>
      <c r="I209" s="287"/>
      <c r="J209" s="288"/>
    </row>
    <row r="210" spans="1:13" s="36" customFormat="1">
      <c r="G210" s="279" t="s">
        <v>664</v>
      </c>
      <c r="H210" s="280">
        <f>+H206+H209</f>
        <v>17</v>
      </c>
      <c r="I210" s="35"/>
      <c r="J210" s="35"/>
    </row>
    <row r="211" spans="1:13" s="36" customFormat="1">
      <c r="A211" s="36" t="s">
        <v>710</v>
      </c>
      <c r="B211" s="36" t="s">
        <v>730</v>
      </c>
      <c r="D211" s="36" t="s">
        <v>705</v>
      </c>
      <c r="E211" s="36" t="s">
        <v>731</v>
      </c>
      <c r="F211" s="36" t="s">
        <v>732</v>
      </c>
      <c r="G211" s="36" t="s">
        <v>733</v>
      </c>
      <c r="H211" s="36" t="s">
        <v>734</v>
      </c>
    </row>
    <row r="212" spans="1:13">
      <c r="B212" s="36" t="s">
        <v>714</v>
      </c>
      <c r="C212" s="36"/>
      <c r="D212" s="35">
        <f>-D197</f>
        <v>-40</v>
      </c>
      <c r="E212" s="35">
        <f>+E202</f>
        <v>15.454700000000001</v>
      </c>
      <c r="F212" s="35">
        <f t="shared" ref="F212:H212" si="3">+F202</f>
        <v>14.0488</v>
      </c>
      <c r="G212" s="35">
        <f t="shared" si="3"/>
        <v>12.7721</v>
      </c>
      <c r="H212" s="35">
        <f t="shared" si="3"/>
        <v>11.611000000000001</v>
      </c>
      <c r="I212" s="36"/>
      <c r="J212" s="36"/>
      <c r="K212" s="36"/>
      <c r="L212" s="36"/>
      <c r="M212" s="36"/>
    </row>
    <row r="213" spans="1:13" ht="16.8" thickBot="1">
      <c r="B213" s="35" t="s">
        <v>719</v>
      </c>
      <c r="D213" s="314">
        <f>+SUM(D212:H212)</f>
        <v>13.886600000000003</v>
      </c>
    </row>
    <row r="214" spans="1:13" ht="16.8" thickTop="1"/>
    <row r="216" spans="1:13">
      <c r="A216" s="35" t="s">
        <v>735</v>
      </c>
      <c r="B216" s="35" t="s">
        <v>752</v>
      </c>
    </row>
    <row r="217" spans="1:13">
      <c r="B217" s="35" t="s">
        <v>736</v>
      </c>
    </row>
    <row r="218" spans="1:13">
      <c r="D218" s="296"/>
      <c r="E218" s="298" t="s">
        <v>696</v>
      </c>
      <c r="F218" s="298" t="s">
        <v>697</v>
      </c>
      <c r="G218" s="298" t="s">
        <v>699</v>
      </c>
      <c r="H218" s="298" t="s">
        <v>701</v>
      </c>
      <c r="I218" s="298" t="s">
        <v>704</v>
      </c>
    </row>
    <row r="219" spans="1:13">
      <c r="D219" s="297"/>
      <c r="E219" s="55"/>
      <c r="F219" s="55"/>
      <c r="G219" s="55"/>
      <c r="H219" s="55"/>
      <c r="I219" s="55"/>
    </row>
    <row r="220" spans="1:13">
      <c r="B220" s="35" t="s">
        <v>738</v>
      </c>
      <c r="D220" s="35">
        <v>4000</v>
      </c>
    </row>
    <row r="221" spans="1:13">
      <c r="B221" s="35" t="s">
        <v>740</v>
      </c>
      <c r="E221" s="35">
        <f>-M230</f>
        <v>-2780</v>
      </c>
      <c r="F221" s="35">
        <f>+E221</f>
        <v>-2780</v>
      </c>
      <c r="G221" s="35">
        <f t="shared" ref="G221:I221" si="4">+F221</f>
        <v>-2780</v>
      </c>
      <c r="H221" s="35">
        <f t="shared" si="4"/>
        <v>-2780</v>
      </c>
      <c r="I221" s="35">
        <f t="shared" si="4"/>
        <v>-2780</v>
      </c>
    </row>
    <row r="222" spans="1:13">
      <c r="B222" s="35" t="s">
        <v>742</v>
      </c>
    </row>
    <row r="223" spans="1:13">
      <c r="B223" s="35" t="s">
        <v>743</v>
      </c>
      <c r="D223" s="35">
        <v>1500</v>
      </c>
      <c r="I223" s="35">
        <v>400</v>
      </c>
    </row>
    <row r="224" spans="1:13">
      <c r="B224" s="35" t="s">
        <v>744</v>
      </c>
      <c r="E224" s="35">
        <v>-500</v>
      </c>
      <c r="H224" s="35" t="s">
        <v>748</v>
      </c>
      <c r="I224" s="35">
        <f>+I223</f>
        <v>400</v>
      </c>
      <c r="K224" s="35" t="s">
        <v>739</v>
      </c>
    </row>
    <row r="225" spans="1:15" ht="16.8" thickBot="1">
      <c r="B225" s="35" t="s">
        <v>745</v>
      </c>
      <c r="E225" s="35">
        <f>-E224*0.3</f>
        <v>150</v>
      </c>
      <c r="H225" s="35" t="s">
        <v>749</v>
      </c>
      <c r="I225" s="35">
        <f>-I224*0.3</f>
        <v>-120</v>
      </c>
      <c r="K225" s="283" t="s">
        <v>658</v>
      </c>
      <c r="L225" s="321"/>
      <c r="M225" s="284">
        <v>5200</v>
      </c>
      <c r="N225" s="283" t="s">
        <v>659</v>
      </c>
      <c r="O225" s="285">
        <v>9000</v>
      </c>
    </row>
    <row r="226" spans="1:15" ht="16.8" thickBot="1">
      <c r="K226" s="294" t="s">
        <v>319</v>
      </c>
      <c r="L226" s="338"/>
      <c r="M226" s="295">
        <f>+D220/10</f>
        <v>400</v>
      </c>
      <c r="N226" s="282"/>
      <c r="O226" s="286"/>
    </row>
    <row r="227" spans="1:15">
      <c r="B227" s="35" t="s">
        <v>737</v>
      </c>
      <c r="D227" s="35">
        <v>7000</v>
      </c>
      <c r="K227" s="289" t="s">
        <v>660</v>
      </c>
      <c r="L227" s="279"/>
      <c r="M227" s="291">
        <f>+SUM(O225:O229)-M225-M226</f>
        <v>3400</v>
      </c>
      <c r="N227" s="282"/>
      <c r="O227" s="286"/>
    </row>
    <row r="228" spans="1:15">
      <c r="B228" s="35" t="s">
        <v>741</v>
      </c>
      <c r="E228" s="35">
        <f>+M238</f>
        <v>5880</v>
      </c>
      <c r="F228" s="35">
        <f>+E228</f>
        <v>5880</v>
      </c>
      <c r="G228" s="35">
        <f t="shared" ref="G228:I228" si="5">+F228</f>
        <v>5880</v>
      </c>
      <c r="H228" s="35">
        <f t="shared" si="5"/>
        <v>5880</v>
      </c>
      <c r="I228" s="35">
        <f t="shared" si="5"/>
        <v>5880</v>
      </c>
      <c r="K228" s="289" t="s">
        <v>86</v>
      </c>
      <c r="L228" s="279"/>
      <c r="M228" s="292" t="s">
        <v>661</v>
      </c>
      <c r="N228" s="282"/>
      <c r="O228" s="286"/>
    </row>
    <row r="229" spans="1:15" ht="16.8" thickBot="1">
      <c r="K229" s="290">
        <f>+M227*0.3</f>
        <v>1020</v>
      </c>
      <c r="L229" s="279"/>
      <c r="M229" s="293">
        <f>+M227-K229</f>
        <v>2380</v>
      </c>
      <c r="N229" s="287"/>
      <c r="O229" s="288"/>
    </row>
    <row r="230" spans="1:15">
      <c r="K230" s="279" t="s">
        <v>664</v>
      </c>
      <c r="L230" s="279"/>
      <c r="M230" s="280">
        <f>+M226+M229</f>
        <v>2780</v>
      </c>
    </row>
    <row r="231" spans="1:15">
      <c r="A231" s="35" t="s">
        <v>706</v>
      </c>
      <c r="B231" s="35" t="s">
        <v>746</v>
      </c>
      <c r="D231" s="35">
        <f>+D223-D227</f>
        <v>-5500</v>
      </c>
      <c r="K231" s="279"/>
      <c r="L231" s="279"/>
      <c r="M231" s="279"/>
    </row>
    <row r="232" spans="1:15">
      <c r="A232" s="35" t="s">
        <v>707</v>
      </c>
      <c r="B232" s="35" t="s">
        <v>747</v>
      </c>
      <c r="E232" s="35">
        <f>+SUM(E221,E228,E225)</f>
        <v>3250</v>
      </c>
      <c r="K232" s="35" t="s">
        <v>737</v>
      </c>
    </row>
    <row r="233" spans="1:15" ht="16.8" thickBot="1">
      <c r="A233" s="35" t="s">
        <v>710</v>
      </c>
      <c r="B233" s="35" t="s">
        <v>750</v>
      </c>
      <c r="I233" s="35">
        <f>+SUM(I228,I221,I224:I225)</f>
        <v>3380</v>
      </c>
      <c r="K233" s="283" t="s">
        <v>658</v>
      </c>
      <c r="L233" s="321"/>
      <c r="M233" s="284">
        <v>8200</v>
      </c>
      <c r="N233" s="283" t="s">
        <v>659</v>
      </c>
      <c r="O233" s="285">
        <v>16000</v>
      </c>
    </row>
    <row r="234" spans="1:15" ht="16.8" thickBot="1">
      <c r="B234" s="35" t="s">
        <v>751</v>
      </c>
      <c r="F234" s="35">
        <f>+F228+F221</f>
        <v>3100</v>
      </c>
      <c r="G234" s="35">
        <f t="shared" ref="G234:H234" si="6">+G228+G221</f>
        <v>3100</v>
      </c>
      <c r="H234" s="35">
        <f t="shared" si="6"/>
        <v>3100</v>
      </c>
      <c r="K234" s="294" t="s">
        <v>319</v>
      </c>
      <c r="L234" s="338"/>
      <c r="M234" s="295">
        <f>+D227/5</f>
        <v>1400</v>
      </c>
      <c r="N234" s="282"/>
      <c r="O234" s="286"/>
    </row>
    <row r="235" spans="1:15">
      <c r="K235" s="289" t="s">
        <v>660</v>
      </c>
      <c r="L235" s="279"/>
      <c r="M235" s="291">
        <f>+SUM(O233:O237)-M233-M234</f>
        <v>6400</v>
      </c>
      <c r="N235" s="282"/>
      <c r="O235" s="286"/>
    </row>
    <row r="236" spans="1:15">
      <c r="D236" s="35" t="s">
        <v>726</v>
      </c>
      <c r="E236" s="308">
        <v>0.94340000000000002</v>
      </c>
      <c r="F236" s="308">
        <v>0.89</v>
      </c>
      <c r="G236" s="308">
        <v>0.83960000000000001</v>
      </c>
      <c r="H236" s="308">
        <v>0.79210000000000003</v>
      </c>
      <c r="I236" s="308">
        <v>0.74729999999999996</v>
      </c>
      <c r="K236" s="289" t="s">
        <v>86</v>
      </c>
      <c r="L236" s="279"/>
      <c r="M236" s="292" t="s">
        <v>661</v>
      </c>
      <c r="N236" s="282"/>
      <c r="O236" s="286"/>
    </row>
    <row r="237" spans="1:15" ht="16.8" thickBot="1">
      <c r="D237" s="35" t="s">
        <v>705</v>
      </c>
      <c r="E237" s="35">
        <f>+SUM(E231:E234)*E236</f>
        <v>3066.05</v>
      </c>
      <c r="F237" s="35">
        <f t="shared" ref="F237:I237" si="7">+SUM(F231:F234)*F236</f>
        <v>2759</v>
      </c>
      <c r="G237" s="35">
        <f t="shared" si="7"/>
        <v>2602.7600000000002</v>
      </c>
      <c r="H237" s="35">
        <f t="shared" si="7"/>
        <v>2455.5100000000002</v>
      </c>
      <c r="I237" s="35">
        <f t="shared" si="7"/>
        <v>2525.8739999999998</v>
      </c>
      <c r="K237" s="290">
        <f>+M235*0.3</f>
        <v>1920</v>
      </c>
      <c r="L237" s="279"/>
      <c r="M237" s="293">
        <f>+M235-K237</f>
        <v>4480</v>
      </c>
      <c r="N237" s="287"/>
      <c r="O237" s="288"/>
    </row>
    <row r="238" spans="1:15">
      <c r="A238" s="35" t="s">
        <v>711</v>
      </c>
      <c r="B238" s="35" t="s">
        <v>719</v>
      </c>
      <c r="D238" s="257">
        <f>+D231+SUM(E237:I237)</f>
        <v>7909.1940000000013</v>
      </c>
      <c r="K238" s="279" t="s">
        <v>664</v>
      </c>
      <c r="L238" s="279"/>
      <c r="M238" s="280">
        <f>+M234+M237</f>
        <v>5880</v>
      </c>
    </row>
    <row r="241" spans="1:17">
      <c r="A241" s="35" t="s">
        <v>753</v>
      </c>
      <c r="B241" s="35" t="s">
        <v>754</v>
      </c>
    </row>
    <row r="242" spans="1:17">
      <c r="D242" s="35" t="s">
        <v>772</v>
      </c>
      <c r="K242" s="35" t="s">
        <v>773</v>
      </c>
    </row>
    <row r="243" spans="1:17">
      <c r="D243" s="316"/>
      <c r="E243" s="315"/>
      <c r="F243" s="315"/>
      <c r="G243" s="315"/>
      <c r="H243" s="315"/>
      <c r="I243" s="315"/>
      <c r="J243" s="315"/>
      <c r="K243" s="316">
        <v>50</v>
      </c>
      <c r="L243" s="316"/>
      <c r="M243" s="315"/>
      <c r="N243" s="315"/>
      <c r="O243" s="315"/>
      <c r="P243" s="315"/>
      <c r="Q243" s="315"/>
    </row>
    <row r="244" spans="1:17">
      <c r="D244" s="329" t="s">
        <v>755</v>
      </c>
      <c r="E244" s="330" t="s">
        <v>695</v>
      </c>
      <c r="F244" s="330" t="s">
        <v>697</v>
      </c>
      <c r="G244" s="331" t="s">
        <v>699</v>
      </c>
      <c r="H244" s="315"/>
      <c r="I244" s="315"/>
      <c r="J244" s="315"/>
      <c r="K244" s="329" t="s">
        <v>755</v>
      </c>
      <c r="L244" s="329"/>
      <c r="M244" s="330" t="s">
        <v>695</v>
      </c>
      <c r="N244" s="330" t="s">
        <v>697</v>
      </c>
      <c r="O244" s="331" t="s">
        <v>699</v>
      </c>
      <c r="P244" s="315"/>
      <c r="Q244" s="315"/>
    </row>
    <row r="245" spans="1:17">
      <c r="D245" s="322"/>
      <c r="E245" s="328"/>
      <c r="F245" s="328"/>
      <c r="G245" s="320"/>
      <c r="H245" s="315"/>
      <c r="I245" s="315"/>
      <c r="J245" s="315"/>
      <c r="K245" s="322"/>
      <c r="L245" s="322"/>
      <c r="M245" s="328"/>
      <c r="N245" s="328"/>
      <c r="O245" s="320"/>
      <c r="P245" s="315"/>
      <c r="Q245" s="315"/>
    </row>
    <row r="246" spans="1:17">
      <c r="B246" s="315"/>
      <c r="C246" s="315"/>
      <c r="D246" s="315"/>
      <c r="E246" s="315"/>
      <c r="F246" s="488" t="s">
        <v>756</v>
      </c>
      <c r="G246" s="326" t="s">
        <v>757</v>
      </c>
      <c r="H246" s="315"/>
      <c r="I246" s="315"/>
      <c r="J246" s="315"/>
      <c r="K246" s="315"/>
      <c r="L246" s="315"/>
      <c r="M246" s="326">
        <v>16800</v>
      </c>
      <c r="N246" s="315"/>
      <c r="O246" s="488" t="s">
        <v>756</v>
      </c>
      <c r="P246" s="326" t="s">
        <v>758</v>
      </c>
    </row>
    <row r="247" spans="1:17">
      <c r="B247" s="315"/>
      <c r="C247" s="315"/>
      <c r="D247" s="325" t="s">
        <v>759</v>
      </c>
      <c r="E247" s="332"/>
      <c r="F247" s="489"/>
      <c r="G247" s="326"/>
      <c r="H247" s="315"/>
      <c r="I247" s="315"/>
      <c r="J247" s="315"/>
      <c r="K247" s="326">
        <v>-50</v>
      </c>
      <c r="L247" s="326"/>
      <c r="M247" s="325" t="s">
        <v>759</v>
      </c>
      <c r="N247" s="332"/>
      <c r="O247" s="489"/>
      <c r="P247" s="315"/>
    </row>
    <row r="248" spans="1:17">
      <c r="B248" s="316" t="s">
        <v>760</v>
      </c>
      <c r="C248" s="316"/>
      <c r="D248" s="487">
        <v>0.5</v>
      </c>
      <c r="E248" s="333"/>
      <c r="F248" s="485" t="s">
        <v>761</v>
      </c>
      <c r="G248" s="326" t="s">
        <v>762</v>
      </c>
      <c r="H248" s="315"/>
      <c r="I248" s="315"/>
      <c r="J248" s="315"/>
      <c r="K248" s="316" t="s">
        <v>763</v>
      </c>
      <c r="L248" s="316"/>
      <c r="M248" s="487">
        <v>0.5</v>
      </c>
      <c r="N248" s="333"/>
      <c r="O248" s="485" t="s">
        <v>761</v>
      </c>
      <c r="P248" s="316" t="s">
        <v>764</v>
      </c>
    </row>
    <row r="249" spans="1:17">
      <c r="B249" s="324" t="s">
        <v>765</v>
      </c>
      <c r="C249" s="319"/>
      <c r="D249" s="487"/>
      <c r="E249" s="319"/>
      <c r="F249" s="486"/>
      <c r="G249" s="326"/>
      <c r="H249" s="315"/>
      <c r="I249" s="315"/>
      <c r="J249" s="315"/>
      <c r="K249" s="324" t="s">
        <v>766</v>
      </c>
      <c r="L249" s="319"/>
      <c r="M249" s="487"/>
      <c r="N249" s="319"/>
      <c r="O249" s="486"/>
      <c r="P249" s="315"/>
    </row>
    <row r="250" spans="1:17">
      <c r="B250" s="315"/>
      <c r="C250" s="315"/>
      <c r="D250" s="482">
        <v>0.5</v>
      </c>
      <c r="E250" s="319"/>
      <c r="F250" s="488" t="s">
        <v>756</v>
      </c>
      <c r="G250" s="326" t="s">
        <v>767</v>
      </c>
      <c r="H250" s="315"/>
      <c r="I250" s="315"/>
      <c r="J250" s="315"/>
      <c r="K250" s="315"/>
      <c r="L250" s="315"/>
      <c r="M250" s="493">
        <v>0.5</v>
      </c>
      <c r="N250" s="323"/>
      <c r="O250" s="483"/>
      <c r="P250" s="315"/>
    </row>
    <row r="251" spans="1:17">
      <c r="B251" s="315"/>
      <c r="C251" s="315"/>
      <c r="D251" s="482"/>
      <c r="E251" s="332"/>
      <c r="F251" s="489"/>
      <c r="G251" s="326"/>
      <c r="H251" s="315"/>
      <c r="I251" s="315"/>
      <c r="J251" s="317"/>
      <c r="K251" s="315"/>
      <c r="L251" s="315"/>
      <c r="M251" s="494"/>
      <c r="N251" s="335"/>
      <c r="O251" s="484"/>
      <c r="P251" s="315"/>
    </row>
    <row r="252" spans="1:17">
      <c r="B252" s="315"/>
      <c r="C252" s="315"/>
      <c r="D252" s="334" t="s">
        <v>768</v>
      </c>
      <c r="E252" s="333"/>
      <c r="F252" s="485" t="s">
        <v>761</v>
      </c>
      <c r="G252" s="326" t="s">
        <v>769</v>
      </c>
      <c r="H252" s="315"/>
      <c r="I252" s="315"/>
      <c r="J252" s="317"/>
      <c r="K252" s="315"/>
      <c r="L252" s="315"/>
      <c r="M252" s="327">
        <v>0</v>
      </c>
      <c r="N252" s="336"/>
      <c r="O252" s="483"/>
      <c r="P252" s="315"/>
    </row>
    <row r="253" spans="1:17">
      <c r="B253" s="315"/>
      <c r="C253" s="315"/>
      <c r="D253" s="315"/>
      <c r="E253" s="319"/>
      <c r="F253" s="486"/>
      <c r="G253" s="315"/>
      <c r="H253" s="315"/>
      <c r="I253" s="315"/>
      <c r="J253" s="317"/>
      <c r="K253" s="315"/>
      <c r="L253" s="315"/>
      <c r="M253" s="318"/>
      <c r="N253" s="323"/>
      <c r="O253" s="484"/>
      <c r="P253" s="315"/>
    </row>
    <row r="255" spans="1:17">
      <c r="B255" s="35" t="s">
        <v>714</v>
      </c>
      <c r="D255" s="35">
        <v>60000</v>
      </c>
      <c r="J255" s="35" t="s">
        <v>714</v>
      </c>
    </row>
    <row r="256" spans="1:17">
      <c r="E256" s="35" t="s">
        <v>774</v>
      </c>
      <c r="J256" s="35" t="s">
        <v>780</v>
      </c>
      <c r="K256" s="35">
        <v>5000</v>
      </c>
    </row>
    <row r="257" spans="2:16">
      <c r="E257" s="35" t="s">
        <v>775</v>
      </c>
      <c r="F257" s="252">
        <v>0.5</v>
      </c>
      <c r="G257" s="35">
        <v>25000</v>
      </c>
    </row>
    <row r="258" spans="2:16">
      <c r="E258" s="35" t="s">
        <v>776</v>
      </c>
      <c r="F258" s="252">
        <v>0.5</v>
      </c>
      <c r="G258" s="35">
        <v>11000</v>
      </c>
      <c r="J258" s="35" t="s">
        <v>782</v>
      </c>
      <c r="K258" s="35">
        <v>60000</v>
      </c>
      <c r="M258" s="35" t="s">
        <v>781</v>
      </c>
      <c r="O258" s="35">
        <v>11000</v>
      </c>
    </row>
    <row r="259" spans="2:16">
      <c r="F259" s="35" t="s">
        <v>777</v>
      </c>
      <c r="G259" s="35">
        <f>+G257*F257+G258*F258</f>
        <v>18000</v>
      </c>
      <c r="M259" s="35" t="s">
        <v>778</v>
      </c>
      <c r="P259" s="35">
        <v>3</v>
      </c>
    </row>
    <row r="260" spans="2:16">
      <c r="M260" s="35" t="s">
        <v>775</v>
      </c>
      <c r="N260" s="252">
        <v>0.6</v>
      </c>
      <c r="O260" s="35">
        <f>+P259*P260</f>
        <v>45000</v>
      </c>
      <c r="P260" s="35">
        <v>15000</v>
      </c>
    </row>
    <row r="261" spans="2:16">
      <c r="E261" s="35" t="s">
        <v>778</v>
      </c>
      <c r="H261" s="35">
        <v>3</v>
      </c>
      <c r="M261" s="35" t="s">
        <v>776</v>
      </c>
      <c r="N261" s="252">
        <v>0.4</v>
      </c>
      <c r="O261" s="35">
        <f>+P259*P261</f>
        <v>24000</v>
      </c>
      <c r="P261" s="35">
        <v>8000</v>
      </c>
    </row>
    <row r="262" spans="2:16">
      <c r="E262" s="35" t="s">
        <v>775</v>
      </c>
      <c r="F262" s="252">
        <v>0.6</v>
      </c>
      <c r="G262" s="35">
        <f>+H261*H262</f>
        <v>45000</v>
      </c>
      <c r="H262" s="35">
        <v>15000</v>
      </c>
      <c r="N262" s="35" t="s">
        <v>777</v>
      </c>
      <c r="O262" s="35">
        <f>+O260*N260+O261*N261</f>
        <v>36600</v>
      </c>
    </row>
    <row r="263" spans="2:16">
      <c r="E263" s="35" t="s">
        <v>776</v>
      </c>
      <c r="F263" s="252">
        <v>0.4</v>
      </c>
      <c r="G263" s="35">
        <f>+H261*H263</f>
        <v>24000</v>
      </c>
      <c r="H263" s="35">
        <v>8000</v>
      </c>
      <c r="K263" s="35">
        <f>+(O262-O258)*3-K258</f>
        <v>16800</v>
      </c>
    </row>
    <row r="264" spans="2:16">
      <c r="F264" s="35" t="s">
        <v>777</v>
      </c>
      <c r="G264" s="35">
        <f>+G262*F262+G263*F263</f>
        <v>36600</v>
      </c>
    </row>
    <row r="265" spans="2:16">
      <c r="J265" s="35" t="s">
        <v>783</v>
      </c>
      <c r="K265" s="35" t="s">
        <v>784</v>
      </c>
    </row>
    <row r="266" spans="2:16">
      <c r="K266" s="35">
        <v>0</v>
      </c>
    </row>
    <row r="268" spans="2:16">
      <c r="B268" s="25" t="s">
        <v>719</v>
      </c>
      <c r="C268" s="25"/>
      <c r="D268" s="26">
        <f>+(G264-G259)*3-D255</f>
        <v>-4200</v>
      </c>
      <c r="E268" s="35" t="s">
        <v>779</v>
      </c>
      <c r="F268" s="26"/>
      <c r="J268" s="25" t="s">
        <v>719</v>
      </c>
      <c r="K268" s="25">
        <f>+K263*0.5+K266*0.5-K256</f>
        <v>3400</v>
      </c>
      <c r="L268" s="25"/>
      <c r="M268" s="35" t="s">
        <v>785</v>
      </c>
    </row>
    <row r="270" spans="2:16">
      <c r="B270" s="35" t="s">
        <v>786</v>
      </c>
    </row>
    <row r="271" spans="2:16">
      <c r="B271" s="35" t="s">
        <v>787</v>
      </c>
    </row>
    <row r="273" spans="1:19">
      <c r="A273" s="35" t="s">
        <v>788</v>
      </c>
    </row>
    <row r="274" spans="1:19">
      <c r="A274" s="35" t="s">
        <v>789</v>
      </c>
      <c r="B274" s="35" t="s">
        <v>790</v>
      </c>
    </row>
    <row r="275" spans="1:19">
      <c r="B275" s="35" t="s">
        <v>792</v>
      </c>
    </row>
    <row r="276" spans="1:19">
      <c r="B276" s="35" t="s">
        <v>791</v>
      </c>
      <c r="K276" s="35" t="s">
        <v>801</v>
      </c>
    </row>
    <row r="277" spans="1:19">
      <c r="D277" s="298" t="s">
        <v>696</v>
      </c>
      <c r="E277" s="298" t="s">
        <v>697</v>
      </c>
      <c r="F277" s="298" t="s">
        <v>699</v>
      </c>
      <c r="G277" s="298" t="s">
        <v>701</v>
      </c>
      <c r="H277" s="298" t="s">
        <v>704</v>
      </c>
      <c r="I277" s="298" t="s">
        <v>709</v>
      </c>
      <c r="M277" s="298" t="s">
        <v>696</v>
      </c>
      <c r="N277" s="298" t="s">
        <v>697</v>
      </c>
      <c r="O277" s="298" t="s">
        <v>699</v>
      </c>
      <c r="P277" s="298" t="s">
        <v>701</v>
      </c>
      <c r="Q277" s="298" t="s">
        <v>704</v>
      </c>
      <c r="R277" s="298" t="s">
        <v>709</v>
      </c>
    </row>
    <row r="278" spans="1:19">
      <c r="D278" s="297"/>
      <c r="E278" s="55"/>
      <c r="F278" s="55"/>
      <c r="G278" s="55"/>
      <c r="H278" s="55"/>
      <c r="I278" s="55"/>
      <c r="M278" s="297"/>
      <c r="N278" s="55"/>
      <c r="O278" s="55"/>
      <c r="P278" s="55"/>
      <c r="Q278" s="55"/>
      <c r="R278" s="55"/>
    </row>
    <row r="279" spans="1:19">
      <c r="B279" s="35" t="s">
        <v>714</v>
      </c>
      <c r="E279" s="35" t="s">
        <v>715</v>
      </c>
      <c r="K279" s="35" t="s">
        <v>714</v>
      </c>
      <c r="N279" s="35" t="s">
        <v>715</v>
      </c>
    </row>
    <row r="280" spans="1:19">
      <c r="B280" s="35" t="s">
        <v>793</v>
      </c>
      <c r="C280" s="35">
        <v>240</v>
      </c>
      <c r="E280" s="35">
        <f>+C280/30</f>
        <v>8</v>
      </c>
      <c r="F280" s="35">
        <f>+E280</f>
        <v>8</v>
      </c>
      <c r="G280" s="35">
        <f t="shared" ref="G280:I280" si="8">+F280</f>
        <v>8</v>
      </c>
      <c r="H280" s="35">
        <f t="shared" si="8"/>
        <v>8</v>
      </c>
      <c r="I280" s="35">
        <f t="shared" si="8"/>
        <v>8</v>
      </c>
      <c r="K280" s="35" t="s">
        <v>802</v>
      </c>
      <c r="L280" s="35">
        <v>150</v>
      </c>
      <c r="N280" s="35">
        <f>+L280/30</f>
        <v>5</v>
      </c>
      <c r="O280" s="35">
        <f>+N280</f>
        <v>5</v>
      </c>
      <c r="P280" s="35">
        <f t="shared" ref="P280:R282" si="9">+O280</f>
        <v>5</v>
      </c>
      <c r="Q280" s="35">
        <f t="shared" si="9"/>
        <v>5</v>
      </c>
      <c r="R280" s="35">
        <f t="shared" si="9"/>
        <v>5</v>
      </c>
    </row>
    <row r="281" spans="1:19">
      <c r="B281" s="35" t="s">
        <v>795</v>
      </c>
      <c r="I281" s="35">
        <f>+C280-SUM(E280:I280)</f>
        <v>200</v>
      </c>
      <c r="K281" s="35" t="s">
        <v>795</v>
      </c>
      <c r="R281" s="35">
        <f>+L280-SUM(N280:R280)</f>
        <v>125</v>
      </c>
    </row>
    <row r="282" spans="1:19">
      <c r="K282" s="35" t="s">
        <v>803</v>
      </c>
      <c r="M282" s="35">
        <v>150</v>
      </c>
      <c r="N282" s="35">
        <f>+M282/30</f>
        <v>5</v>
      </c>
      <c r="O282" s="35">
        <f>+N282</f>
        <v>5</v>
      </c>
      <c r="P282" s="35">
        <f t="shared" si="9"/>
        <v>5</v>
      </c>
      <c r="Q282" s="35">
        <f t="shared" si="9"/>
        <v>5</v>
      </c>
      <c r="R282" s="35">
        <f t="shared" si="9"/>
        <v>5</v>
      </c>
      <c r="S282" s="35" t="s">
        <v>804</v>
      </c>
    </row>
    <row r="283" spans="1:19">
      <c r="K283" s="35" t="s">
        <v>795</v>
      </c>
      <c r="R283" s="35">
        <f>+M282-SUM(N282:R282)</f>
        <v>125</v>
      </c>
    </row>
    <row r="284" spans="1:19">
      <c r="B284" s="35" t="s">
        <v>794</v>
      </c>
      <c r="C284" s="35">
        <v>120</v>
      </c>
      <c r="E284" s="35">
        <f>+C284/10</f>
        <v>12</v>
      </c>
      <c r="F284" s="35">
        <f t="shared" ref="F284:I284" si="10">+E284</f>
        <v>12</v>
      </c>
      <c r="G284" s="35">
        <f t="shared" si="10"/>
        <v>12</v>
      </c>
      <c r="H284" s="35">
        <f t="shared" si="10"/>
        <v>12</v>
      </c>
      <c r="I284" s="35">
        <f t="shared" si="10"/>
        <v>12</v>
      </c>
      <c r="K284" s="35" t="s">
        <v>794</v>
      </c>
      <c r="L284" s="35">
        <v>100</v>
      </c>
      <c r="N284" s="35">
        <f>+L284/10</f>
        <v>10</v>
      </c>
      <c r="O284" s="35">
        <f t="shared" ref="O284:R284" si="11">+N284</f>
        <v>10</v>
      </c>
      <c r="P284" s="35">
        <f t="shared" si="11"/>
        <v>10</v>
      </c>
      <c r="Q284" s="35">
        <f t="shared" si="11"/>
        <v>10</v>
      </c>
      <c r="R284" s="35">
        <f t="shared" si="11"/>
        <v>10</v>
      </c>
    </row>
    <row r="285" spans="1:19">
      <c r="B285" s="35" t="s">
        <v>795</v>
      </c>
      <c r="I285" s="35">
        <v>60</v>
      </c>
      <c r="K285" s="35" t="s">
        <v>795</v>
      </c>
      <c r="R285" s="35">
        <v>30</v>
      </c>
    </row>
    <row r="286" spans="1:19">
      <c r="H286" s="337" t="s">
        <v>796</v>
      </c>
      <c r="I286" s="337">
        <v>0</v>
      </c>
      <c r="Q286" s="337" t="s">
        <v>796</v>
      </c>
      <c r="R286" s="337">
        <v>20</v>
      </c>
    </row>
    <row r="287" spans="1:19">
      <c r="H287" s="35" t="s">
        <v>745</v>
      </c>
      <c r="I287" s="35">
        <f>+I286*0.3</f>
        <v>0</v>
      </c>
      <c r="Q287" s="35" t="s">
        <v>745</v>
      </c>
      <c r="R287" s="35">
        <f>+R286*0.3</f>
        <v>6</v>
      </c>
    </row>
    <row r="289" spans="1:18">
      <c r="B289" s="35" t="s">
        <v>797</v>
      </c>
      <c r="E289" s="35">
        <v>400</v>
      </c>
      <c r="F289" s="35">
        <v>400</v>
      </c>
      <c r="G289" s="35">
        <v>350</v>
      </c>
      <c r="H289" s="35">
        <v>350</v>
      </c>
      <c r="I289" s="35">
        <v>350</v>
      </c>
      <c r="K289" s="35" t="s">
        <v>797</v>
      </c>
      <c r="N289" s="35">
        <v>400</v>
      </c>
      <c r="O289" s="35">
        <v>400</v>
      </c>
      <c r="P289" s="35">
        <v>500</v>
      </c>
      <c r="Q289" s="35">
        <v>600</v>
      </c>
      <c r="R289" s="35">
        <v>600</v>
      </c>
    </row>
    <row r="290" spans="1:18">
      <c r="B290" s="35" t="s">
        <v>798</v>
      </c>
      <c r="E290" s="35">
        <v>280</v>
      </c>
      <c r="F290" s="35">
        <v>280</v>
      </c>
      <c r="G290" s="35">
        <v>250</v>
      </c>
      <c r="H290" s="35">
        <v>250</v>
      </c>
      <c r="I290" s="35">
        <v>250</v>
      </c>
      <c r="K290" s="35" t="s">
        <v>798</v>
      </c>
      <c r="N290" s="35">
        <v>320</v>
      </c>
      <c r="O290" s="35">
        <v>320</v>
      </c>
      <c r="P290" s="35">
        <v>400</v>
      </c>
      <c r="Q290" s="35">
        <v>480</v>
      </c>
      <c r="R290" s="35">
        <v>480</v>
      </c>
    </row>
    <row r="291" spans="1:18">
      <c r="B291" s="35" t="s">
        <v>799</v>
      </c>
      <c r="E291" s="35">
        <f>+(E289-E290-E280-E284)*0.7</f>
        <v>70</v>
      </c>
      <c r="F291" s="35">
        <f t="shared" ref="F291:I291" si="12">+(F289-F290-F280-F284)*0.7</f>
        <v>70</v>
      </c>
      <c r="G291" s="35">
        <f t="shared" si="12"/>
        <v>56</v>
      </c>
      <c r="H291" s="35">
        <f t="shared" si="12"/>
        <v>56</v>
      </c>
      <c r="I291" s="35">
        <f t="shared" si="12"/>
        <v>56</v>
      </c>
      <c r="K291" s="35" t="s">
        <v>799</v>
      </c>
      <c r="N291" s="35">
        <f>+(N289-N290-N280-N284-N282)*0.7</f>
        <v>42</v>
      </c>
      <c r="O291" s="35">
        <f t="shared" ref="O291:R291" si="13">+(O289-O290-O280-O284-O282)*0.7</f>
        <v>42</v>
      </c>
      <c r="P291" s="35">
        <f t="shared" si="13"/>
        <v>56</v>
      </c>
      <c r="Q291" s="35">
        <f t="shared" si="13"/>
        <v>70</v>
      </c>
      <c r="R291" s="35">
        <f t="shared" si="13"/>
        <v>70</v>
      </c>
    </row>
    <row r="293" spans="1:18">
      <c r="A293" s="35" t="s">
        <v>706</v>
      </c>
      <c r="B293" s="25" t="s">
        <v>800</v>
      </c>
      <c r="C293" s="35">
        <f>-SUM(C280:C284)</f>
        <v>-360</v>
      </c>
      <c r="D293" s="25">
        <f>-SUM(D280:D284)</f>
        <v>0</v>
      </c>
      <c r="E293" s="25">
        <f>+E291+SUM(E280:E285)</f>
        <v>90</v>
      </c>
      <c r="F293" s="25">
        <f>+F291+SUM(F280:F285)</f>
        <v>90</v>
      </c>
      <c r="G293" s="25">
        <f>+G291+SUM(G280:G285)</f>
        <v>76</v>
      </c>
      <c r="H293" s="25">
        <f>+H291+SUM(H280:H285)</f>
        <v>76</v>
      </c>
      <c r="I293" s="25">
        <f>+I291+SUM(I280:I285)+I287</f>
        <v>336</v>
      </c>
      <c r="K293" s="25" t="s">
        <v>800</v>
      </c>
      <c r="L293" s="35">
        <f>-SUM(L280:L284)</f>
        <v>-250</v>
      </c>
      <c r="M293" s="25">
        <f>-SUM(M280:M284)</f>
        <v>-150</v>
      </c>
      <c r="N293" s="25">
        <f>+SUM(N280,N284,N291,N282)</f>
        <v>62</v>
      </c>
      <c r="O293" s="25">
        <f t="shared" ref="O293:Q293" si="14">+O291+SUM(O280:O285)</f>
        <v>62</v>
      </c>
      <c r="P293" s="25">
        <f t="shared" si="14"/>
        <v>76</v>
      </c>
      <c r="Q293" s="25">
        <f t="shared" si="14"/>
        <v>90</v>
      </c>
      <c r="R293" s="25">
        <f>+R291+SUM(R280:R285)+R287</f>
        <v>376</v>
      </c>
    </row>
    <row r="294" spans="1:18">
      <c r="B294" s="35" t="s">
        <v>726</v>
      </c>
      <c r="D294" s="308">
        <v>0.94340000000000002</v>
      </c>
      <c r="E294" s="308">
        <v>0.89</v>
      </c>
      <c r="F294" s="308">
        <v>0.83960000000000001</v>
      </c>
      <c r="G294" s="308">
        <v>0.79210000000000003</v>
      </c>
      <c r="H294" s="308">
        <v>0.74729999999999996</v>
      </c>
      <c r="I294" s="308">
        <v>0.70499999999999996</v>
      </c>
      <c r="K294" s="35" t="s">
        <v>726</v>
      </c>
      <c r="M294" s="308">
        <v>0.94340000000000002</v>
      </c>
      <c r="N294" s="308">
        <v>0.89</v>
      </c>
      <c r="O294" s="308">
        <v>0.83960000000000001</v>
      </c>
      <c r="P294" s="308">
        <v>0.79210000000000003</v>
      </c>
      <c r="Q294" s="308">
        <v>0.74729999999999996</v>
      </c>
      <c r="R294" s="308">
        <v>0.70499999999999996</v>
      </c>
    </row>
    <row r="295" spans="1:18">
      <c r="B295" s="35" t="s">
        <v>705</v>
      </c>
      <c r="C295" s="35">
        <f>+C293</f>
        <v>-360</v>
      </c>
      <c r="D295" s="35">
        <f>+D293*D294</f>
        <v>0</v>
      </c>
      <c r="E295" s="35">
        <f t="shared" ref="E295:I295" si="15">+E293*E294</f>
        <v>80.099999999999994</v>
      </c>
      <c r="F295" s="35">
        <f t="shared" si="15"/>
        <v>75.564000000000007</v>
      </c>
      <c r="G295" s="35">
        <f t="shared" si="15"/>
        <v>60.199600000000004</v>
      </c>
      <c r="H295" s="35">
        <f t="shared" si="15"/>
        <v>56.794799999999995</v>
      </c>
      <c r="I295" s="35">
        <f t="shared" si="15"/>
        <v>236.88</v>
      </c>
      <c r="K295" s="35" t="s">
        <v>705</v>
      </c>
      <c r="L295" s="35">
        <f>+L293</f>
        <v>-250</v>
      </c>
      <c r="M295" s="35">
        <f>+M293*M294</f>
        <v>-141.51</v>
      </c>
      <c r="N295" s="35">
        <f t="shared" ref="N295" si="16">+N293*N294</f>
        <v>55.18</v>
      </c>
      <c r="O295" s="35">
        <f t="shared" ref="O295" si="17">+O293*O294</f>
        <v>52.055199999999999</v>
      </c>
      <c r="P295" s="35">
        <f t="shared" ref="P295" si="18">+P293*P294</f>
        <v>60.199600000000004</v>
      </c>
      <c r="Q295" s="35">
        <f t="shared" ref="Q295" si="19">+Q293*Q294</f>
        <v>67.256999999999991</v>
      </c>
      <c r="R295" s="35">
        <f t="shared" ref="R295" si="20">+R293*R294</f>
        <v>265.08</v>
      </c>
    </row>
    <row r="296" spans="1:18">
      <c r="A296" s="35" t="s">
        <v>707</v>
      </c>
      <c r="B296" s="25" t="s">
        <v>719</v>
      </c>
      <c r="C296" s="339">
        <f>+SUM(C295:I295)</f>
        <v>149.53840000000002</v>
      </c>
      <c r="D296" s="300" t="s">
        <v>805</v>
      </c>
      <c r="K296" s="25" t="s">
        <v>719</v>
      </c>
      <c r="L296" s="339">
        <f>+SUM(L295:R295)</f>
        <v>108.26179999999999</v>
      </c>
      <c r="M296" s="300"/>
    </row>
    <row r="300" spans="1:18">
      <c r="A300" s="35" t="s">
        <v>806</v>
      </c>
      <c r="B300" s="35" t="s">
        <v>754</v>
      </c>
    </row>
    <row r="301" spans="1:18">
      <c r="D301" s="35" t="s">
        <v>772</v>
      </c>
    </row>
    <row r="302" spans="1:18">
      <c r="D302" s="316"/>
      <c r="E302" s="315"/>
      <c r="F302" s="315"/>
      <c r="G302" s="315"/>
      <c r="H302" s="315"/>
      <c r="I302" s="315"/>
    </row>
    <row r="303" spans="1:18">
      <c r="C303" s="329"/>
      <c r="D303" s="329" t="s">
        <v>696</v>
      </c>
      <c r="E303" s="330" t="s">
        <v>698</v>
      </c>
      <c r="F303" s="329" t="s">
        <v>699</v>
      </c>
      <c r="G303" s="330" t="s">
        <v>701</v>
      </c>
      <c r="H303" s="329" t="s">
        <v>703</v>
      </c>
      <c r="I303" s="330" t="s">
        <v>708</v>
      </c>
      <c r="J303" s="329" t="s">
        <v>810</v>
      </c>
    </row>
    <row r="304" spans="1:18">
      <c r="C304" s="322"/>
      <c r="D304" s="322"/>
      <c r="E304" s="328"/>
      <c r="F304" s="328"/>
      <c r="G304" s="320"/>
      <c r="H304" s="328"/>
      <c r="I304" s="320"/>
      <c r="J304" s="328"/>
    </row>
    <row r="305" spans="2:10">
      <c r="C305" s="316" t="s">
        <v>815</v>
      </c>
      <c r="D305" s="319">
        <v>50</v>
      </c>
      <c r="E305" s="319"/>
      <c r="F305" s="319"/>
      <c r="G305" s="319"/>
      <c r="H305" s="319"/>
      <c r="I305" s="319"/>
      <c r="J305" s="319"/>
    </row>
    <row r="306" spans="2:10">
      <c r="B306" s="315"/>
      <c r="C306" s="315"/>
      <c r="D306" s="315" t="s">
        <v>809</v>
      </c>
      <c r="E306" s="35">
        <v>300</v>
      </c>
    </row>
    <row r="307" spans="2:10">
      <c r="B307" s="315"/>
      <c r="C307" s="315"/>
      <c r="D307" s="325" t="s">
        <v>807</v>
      </c>
      <c r="E307" s="304" t="s">
        <v>811</v>
      </c>
      <c r="F307" s="35" t="s">
        <v>812</v>
      </c>
      <c r="G307" s="35" t="s">
        <v>813</v>
      </c>
    </row>
    <row r="308" spans="2:10">
      <c r="B308" s="315"/>
      <c r="C308" s="316"/>
      <c r="D308" s="487">
        <v>0.5</v>
      </c>
      <c r="E308" s="304" t="s">
        <v>718</v>
      </c>
      <c r="F308" s="35">
        <v>120</v>
      </c>
      <c r="G308" s="35">
        <v>120</v>
      </c>
      <c r="H308" s="35">
        <v>120</v>
      </c>
      <c r="I308" s="35">
        <v>120</v>
      </c>
      <c r="J308" s="35">
        <v>120</v>
      </c>
    </row>
    <row r="309" spans="2:10">
      <c r="B309" s="315"/>
      <c r="D309" s="487"/>
      <c r="E309" s="35">
        <f>+F308*F309</f>
        <v>454.89600000000002</v>
      </c>
      <c r="F309" s="470">
        <v>3.7907999999999999</v>
      </c>
      <c r="G309" s="471"/>
      <c r="H309" s="471"/>
      <c r="I309" s="471"/>
      <c r="J309" s="472"/>
    </row>
    <row r="310" spans="2:10">
      <c r="B310" s="315"/>
      <c r="D310" s="487"/>
      <c r="E310" s="340">
        <f>+E309-E306</f>
        <v>154.89600000000002</v>
      </c>
      <c r="F310" s="35" t="s">
        <v>814</v>
      </c>
    </row>
    <row r="311" spans="2:10">
      <c r="B311" s="315"/>
      <c r="C311" s="315"/>
      <c r="D311" s="482">
        <v>0.5</v>
      </c>
    </row>
    <row r="312" spans="2:10">
      <c r="B312" s="315"/>
      <c r="C312" s="315"/>
      <c r="D312" s="482"/>
    </row>
    <row r="313" spans="2:10">
      <c r="B313" s="315"/>
      <c r="C313" s="315"/>
      <c r="D313" s="482"/>
    </row>
    <row r="314" spans="2:10">
      <c r="B314" s="315"/>
      <c r="C314" s="315"/>
      <c r="D314" s="334" t="s">
        <v>808</v>
      </c>
    </row>
    <row r="315" spans="2:10">
      <c r="B315" s="315"/>
      <c r="C315" s="315"/>
      <c r="D315" s="315" t="s">
        <v>809</v>
      </c>
      <c r="E315" s="35">
        <v>600</v>
      </c>
    </row>
    <row r="316" spans="2:10">
      <c r="B316" s="315"/>
      <c r="E316" s="304" t="s">
        <v>811</v>
      </c>
      <c r="F316" s="35" t="s">
        <v>812</v>
      </c>
      <c r="G316" s="35" t="s">
        <v>813</v>
      </c>
    </row>
    <row r="317" spans="2:10">
      <c r="E317" s="304" t="s">
        <v>718</v>
      </c>
      <c r="F317" s="35">
        <v>150</v>
      </c>
      <c r="G317" s="35">
        <v>150</v>
      </c>
      <c r="H317" s="35">
        <v>150</v>
      </c>
      <c r="I317" s="35">
        <v>150</v>
      </c>
      <c r="J317" s="35">
        <v>150</v>
      </c>
    </row>
    <row r="318" spans="2:10">
      <c r="E318" s="35">
        <f>+F317*F318</f>
        <v>568.62</v>
      </c>
      <c r="F318" s="470">
        <v>3.7907999999999999</v>
      </c>
      <c r="G318" s="471"/>
      <c r="H318" s="471"/>
      <c r="I318" s="471"/>
      <c r="J318" s="472"/>
    </row>
    <row r="319" spans="2:10">
      <c r="E319" s="340">
        <f>+E318-E315</f>
        <v>-31.379999999999995</v>
      </c>
      <c r="F319" s="35" t="s">
        <v>814</v>
      </c>
    </row>
    <row r="321" spans="1:22">
      <c r="B321" s="35" t="s">
        <v>706</v>
      </c>
      <c r="C321" s="35" t="s">
        <v>816</v>
      </c>
    </row>
    <row r="322" spans="1:22">
      <c r="D322" s="329" t="s">
        <v>696</v>
      </c>
      <c r="E322" s="330" t="s">
        <v>698</v>
      </c>
    </row>
    <row r="323" spans="1:22">
      <c r="C323" s="35" t="s">
        <v>815</v>
      </c>
      <c r="D323" s="322">
        <v>-50</v>
      </c>
      <c r="E323" s="328"/>
    </row>
    <row r="324" spans="1:22">
      <c r="C324" s="35" t="s">
        <v>807</v>
      </c>
      <c r="E324" s="35">
        <f>+E310</f>
        <v>154.89600000000002</v>
      </c>
      <c r="F324" s="252">
        <v>0.5</v>
      </c>
      <c r="G324" s="35" t="s">
        <v>817</v>
      </c>
    </row>
    <row r="325" spans="1:22">
      <c r="C325" s="35" t="s">
        <v>808</v>
      </c>
      <c r="E325" s="35">
        <v>0</v>
      </c>
      <c r="F325" s="252">
        <v>0.5</v>
      </c>
      <c r="G325" s="35" t="s">
        <v>818</v>
      </c>
    </row>
    <row r="326" spans="1:22">
      <c r="D326" s="35">
        <f>+(E324*0.5+E325*0.5)*E326</f>
        <v>70.407976800000014</v>
      </c>
      <c r="E326" s="308">
        <v>0.90910000000000002</v>
      </c>
    </row>
    <row r="327" spans="1:22">
      <c r="C327" s="25" t="s">
        <v>719</v>
      </c>
      <c r="D327" s="341">
        <f>+SUM(D323:D326)</f>
        <v>20.407976800000014</v>
      </c>
    </row>
    <row r="329" spans="1:22">
      <c r="B329" s="35" t="s">
        <v>707</v>
      </c>
      <c r="C329" s="35" t="s">
        <v>819</v>
      </c>
    </row>
    <row r="331" spans="1:22">
      <c r="A331" s="35" t="s">
        <v>820</v>
      </c>
    </row>
    <row r="332" spans="1:22">
      <c r="B332" s="35" t="s">
        <v>821</v>
      </c>
    </row>
    <row r="334" spans="1:22">
      <c r="B334" s="36" t="s">
        <v>822</v>
      </c>
      <c r="C334" s="36"/>
      <c r="D334" s="36"/>
      <c r="E334" s="36"/>
      <c r="F334" s="36"/>
      <c r="G334" s="36"/>
      <c r="H334" s="36"/>
      <c r="I334" s="36"/>
      <c r="J334" s="36"/>
      <c r="K334" s="36" t="s">
        <v>823</v>
      </c>
      <c r="L334" s="36"/>
      <c r="M334" s="36"/>
      <c r="N334" s="36"/>
      <c r="O334" s="36"/>
      <c r="P334" s="36" t="s">
        <v>824</v>
      </c>
      <c r="Q334" s="36"/>
      <c r="R334" s="36"/>
      <c r="S334" s="36"/>
      <c r="T334" s="36"/>
      <c r="U334" s="36"/>
      <c r="V334" s="36"/>
    </row>
    <row r="335" spans="1:22">
      <c r="B335" s="36"/>
      <c r="C335" s="36"/>
      <c r="D335" s="36" t="s">
        <v>825</v>
      </c>
      <c r="E335" s="36" t="s">
        <v>826</v>
      </c>
      <c r="F335" s="36" t="s">
        <v>697</v>
      </c>
      <c r="G335" s="36" t="s">
        <v>699</v>
      </c>
      <c r="H335" s="36" t="s">
        <v>701</v>
      </c>
      <c r="I335" s="36" t="s">
        <v>703</v>
      </c>
      <c r="J335" s="36"/>
      <c r="K335" s="36" t="s">
        <v>680</v>
      </c>
      <c r="L335" s="36"/>
      <c r="M335" s="36"/>
      <c r="N335" s="36"/>
      <c r="O335" s="36"/>
      <c r="P335" s="36"/>
      <c r="Q335" s="36" t="s">
        <v>680</v>
      </c>
      <c r="R335" s="36" t="s">
        <v>679</v>
      </c>
      <c r="S335" s="36"/>
      <c r="T335" s="36"/>
      <c r="U335" s="36"/>
      <c r="V335" s="36"/>
    </row>
    <row r="336" spans="1:22">
      <c r="B336" s="36"/>
      <c r="C336" s="342"/>
      <c r="D336" s="343"/>
      <c r="E336" s="344"/>
      <c r="F336" s="344"/>
      <c r="G336" s="345"/>
      <c r="H336" s="345"/>
      <c r="I336" s="345"/>
      <c r="J336" s="36"/>
      <c r="K336" s="346" t="s">
        <v>827</v>
      </c>
      <c r="L336" s="347">
        <v>380</v>
      </c>
      <c r="M336" s="348" t="s">
        <v>770</v>
      </c>
      <c r="N336" s="349">
        <v>520</v>
      </c>
      <c r="O336" s="36"/>
      <c r="P336" s="36" t="s">
        <v>828</v>
      </c>
      <c r="Q336" s="36">
        <v>200</v>
      </c>
      <c r="R336" s="36">
        <v>50</v>
      </c>
      <c r="S336" s="36"/>
      <c r="T336" s="36"/>
      <c r="U336" s="36"/>
      <c r="V336" s="36"/>
    </row>
    <row r="337" spans="2:22">
      <c r="B337" s="36"/>
      <c r="C337" s="342"/>
      <c r="D337" s="350"/>
      <c r="E337" s="351"/>
      <c r="F337" s="351"/>
      <c r="G337" s="351"/>
      <c r="H337" s="351"/>
      <c r="I337" s="351"/>
      <c r="J337" s="36"/>
      <c r="K337" s="352" t="s">
        <v>829</v>
      </c>
      <c r="L337" s="353">
        <f>+R338</f>
        <v>10</v>
      </c>
      <c r="M337" s="354"/>
      <c r="N337" s="355"/>
      <c r="O337" s="36"/>
      <c r="P337" s="36" t="s">
        <v>830</v>
      </c>
      <c r="Q337" s="36">
        <v>5</v>
      </c>
      <c r="R337" s="36">
        <v>5</v>
      </c>
      <c r="S337" s="36"/>
      <c r="T337" s="36"/>
      <c r="U337" s="36"/>
      <c r="V337" s="36"/>
    </row>
    <row r="338" spans="2:22">
      <c r="B338" s="36" t="s">
        <v>831</v>
      </c>
      <c r="C338" s="342" t="s">
        <v>770</v>
      </c>
      <c r="D338" s="342"/>
      <c r="E338" s="36">
        <v>520</v>
      </c>
      <c r="F338" s="36" t="s">
        <v>106</v>
      </c>
      <c r="G338" s="36" t="s">
        <v>106</v>
      </c>
      <c r="H338" s="36" t="s">
        <v>106</v>
      </c>
      <c r="I338" s="36" t="s">
        <v>106</v>
      </c>
      <c r="J338" s="36"/>
      <c r="K338" s="356" t="s">
        <v>832</v>
      </c>
      <c r="L338" s="357">
        <f>+N336-SUM(L336:L337)</f>
        <v>130</v>
      </c>
      <c r="M338" s="354"/>
      <c r="N338" s="355"/>
      <c r="O338" s="36"/>
      <c r="P338" s="36" t="s">
        <v>833</v>
      </c>
      <c r="Q338" s="36">
        <f>+Q336/Q337</f>
        <v>40</v>
      </c>
      <c r="R338" s="36">
        <f>+R336/R337</f>
        <v>10</v>
      </c>
      <c r="S338" s="36"/>
      <c r="T338" s="36"/>
      <c r="U338" s="36"/>
      <c r="V338" s="36"/>
    </row>
    <row r="339" spans="2:22">
      <c r="B339" s="36" t="s">
        <v>834</v>
      </c>
      <c r="C339" s="342" t="s">
        <v>827</v>
      </c>
      <c r="D339" s="342"/>
      <c r="E339" s="36">
        <v>380</v>
      </c>
      <c r="F339" s="36" t="s">
        <v>106</v>
      </c>
      <c r="G339" s="36" t="s">
        <v>106</v>
      </c>
      <c r="H339" s="36" t="s">
        <v>106</v>
      </c>
      <c r="I339" s="36" t="s">
        <v>106</v>
      </c>
      <c r="J339" s="36"/>
      <c r="K339" s="356" t="s">
        <v>835</v>
      </c>
      <c r="L339" s="357" t="s">
        <v>836</v>
      </c>
      <c r="M339" s="354"/>
      <c r="N339" s="355"/>
      <c r="O339" s="36"/>
      <c r="P339" s="36"/>
      <c r="Q339" s="36"/>
      <c r="R339" s="36"/>
      <c r="S339" s="36"/>
      <c r="T339" s="36"/>
      <c r="U339" s="36"/>
      <c r="V339" s="36"/>
    </row>
    <row r="340" spans="2:22">
      <c r="B340" s="36" t="s">
        <v>837</v>
      </c>
      <c r="C340" s="36" t="s">
        <v>829</v>
      </c>
      <c r="D340" s="36"/>
      <c r="E340" s="36">
        <f>+R338</f>
        <v>10</v>
      </c>
      <c r="F340" s="36" t="s">
        <v>106</v>
      </c>
      <c r="G340" s="36" t="s">
        <v>106</v>
      </c>
      <c r="H340" s="36" t="s">
        <v>106</v>
      </c>
      <c r="I340" s="36" t="s">
        <v>106</v>
      </c>
      <c r="J340" s="36"/>
      <c r="K340" s="358">
        <f>+L338*0.7</f>
        <v>91</v>
      </c>
      <c r="L340" s="42">
        <f>+L338*0.3</f>
        <v>39</v>
      </c>
      <c r="M340" s="359"/>
      <c r="N340" s="360"/>
      <c r="O340" s="36"/>
      <c r="P340" s="36"/>
      <c r="Q340" s="36"/>
      <c r="R340" s="36"/>
      <c r="S340" s="36"/>
      <c r="T340" s="36"/>
      <c r="U340" s="36"/>
      <c r="V340" s="36"/>
    </row>
    <row r="341" spans="2:22">
      <c r="B341" s="36"/>
      <c r="C341" s="36" t="s">
        <v>838</v>
      </c>
      <c r="D341" s="36"/>
      <c r="E341" s="361">
        <f>+L341</f>
        <v>101</v>
      </c>
      <c r="F341" s="36" t="s">
        <v>106</v>
      </c>
      <c r="G341" s="36" t="s">
        <v>106</v>
      </c>
      <c r="H341" s="36" t="s">
        <v>106</v>
      </c>
      <c r="I341" s="36" t="s">
        <v>106</v>
      </c>
      <c r="J341" s="36"/>
      <c r="K341" s="36" t="s">
        <v>839</v>
      </c>
      <c r="L341" s="361">
        <f>+K340+L337</f>
        <v>101</v>
      </c>
      <c r="M341" s="36"/>
      <c r="N341" s="36"/>
      <c r="O341" s="36"/>
      <c r="P341" s="36"/>
      <c r="Q341" s="36"/>
      <c r="R341" s="36"/>
      <c r="S341" s="36"/>
      <c r="T341" s="36"/>
      <c r="U341" s="36"/>
      <c r="V341" s="36"/>
    </row>
    <row r="342" spans="2:22">
      <c r="B342" s="36"/>
      <c r="C342" s="362" t="s">
        <v>840</v>
      </c>
      <c r="D342" s="36"/>
      <c r="E342" s="36"/>
      <c r="F342" s="36"/>
      <c r="G342" s="36"/>
      <c r="H342" s="36"/>
      <c r="I342" s="362">
        <v>-5</v>
      </c>
      <c r="J342" s="36"/>
      <c r="K342" s="36"/>
      <c r="L342" s="36"/>
      <c r="M342" s="36"/>
      <c r="N342" s="36"/>
      <c r="O342" s="36"/>
      <c r="P342" s="36"/>
      <c r="Q342" s="36"/>
      <c r="R342" s="36"/>
      <c r="S342" s="36"/>
      <c r="T342" s="36"/>
      <c r="U342" s="36"/>
      <c r="V342" s="36"/>
    </row>
    <row r="343" spans="2:22">
      <c r="B343" s="36"/>
      <c r="C343" s="362" t="s">
        <v>841</v>
      </c>
      <c r="D343" s="36"/>
      <c r="E343" s="36"/>
      <c r="F343" s="36"/>
      <c r="G343" s="36"/>
      <c r="H343" s="36"/>
      <c r="I343" s="363">
        <f>-I342*0.3</f>
        <v>1.5</v>
      </c>
      <c r="J343" s="36"/>
      <c r="K343" s="36"/>
      <c r="L343" s="36"/>
      <c r="M343" s="36"/>
      <c r="N343" s="36"/>
      <c r="O343" s="36"/>
      <c r="P343" s="36"/>
      <c r="Q343" s="36"/>
      <c r="R343" s="36"/>
      <c r="S343" s="36"/>
      <c r="T343" s="36"/>
      <c r="U343" s="36"/>
      <c r="V343" s="36"/>
    </row>
    <row r="344" spans="2:22">
      <c r="B344" s="36"/>
      <c r="C344" s="36"/>
      <c r="D344" s="36"/>
      <c r="E344" s="36"/>
      <c r="F344" s="36"/>
      <c r="G344" s="36"/>
      <c r="H344" s="36"/>
      <c r="I344" s="259"/>
      <c r="J344" s="36"/>
      <c r="K344" s="36" t="s">
        <v>679</v>
      </c>
      <c r="L344" s="36"/>
      <c r="M344" s="36"/>
      <c r="N344" s="36"/>
      <c r="O344" s="36"/>
      <c r="P344" s="36"/>
      <c r="Q344" s="36"/>
      <c r="R344" s="36"/>
      <c r="S344" s="36"/>
      <c r="T344" s="36"/>
      <c r="U344" s="36"/>
      <c r="V344" s="36"/>
    </row>
    <row r="345" spans="2:22">
      <c r="B345" s="36"/>
      <c r="C345" s="36"/>
      <c r="D345" s="36"/>
      <c r="E345" s="36"/>
      <c r="F345" s="36"/>
      <c r="G345" s="36"/>
      <c r="H345" s="36"/>
      <c r="I345" s="36"/>
      <c r="J345" s="36"/>
      <c r="K345" s="346" t="s">
        <v>827</v>
      </c>
      <c r="L345" s="347">
        <f>+E356</f>
        <v>370</v>
      </c>
      <c r="M345" s="348" t="s">
        <v>770</v>
      </c>
      <c r="N345" s="349">
        <f>+E355</f>
        <v>580</v>
      </c>
      <c r="O345" s="36"/>
      <c r="P345" s="36"/>
      <c r="Q345" s="36"/>
      <c r="R345" s="36"/>
      <c r="S345" s="36"/>
      <c r="T345" s="36"/>
      <c r="U345" s="36"/>
      <c r="V345" s="36"/>
    </row>
    <row r="346" spans="2:22">
      <c r="B346" s="36" t="s">
        <v>842</v>
      </c>
      <c r="C346" s="36"/>
      <c r="D346" s="36"/>
      <c r="E346" s="36"/>
      <c r="F346" s="36"/>
      <c r="G346" s="36"/>
      <c r="H346" s="36"/>
      <c r="I346" s="36"/>
      <c r="J346" s="36"/>
      <c r="K346" s="352" t="s">
        <v>829</v>
      </c>
      <c r="L346" s="353">
        <f>+Q338</f>
        <v>40</v>
      </c>
      <c r="M346" s="354"/>
      <c r="N346" s="355"/>
      <c r="O346" s="36"/>
      <c r="P346" s="36"/>
      <c r="Q346" s="36"/>
      <c r="R346" s="36"/>
      <c r="S346" s="36"/>
      <c r="T346" s="36"/>
      <c r="U346" s="36"/>
      <c r="V346" s="36"/>
    </row>
    <row r="347" spans="2:22">
      <c r="B347" s="36"/>
      <c r="C347" s="36"/>
      <c r="D347" s="36" t="s">
        <v>825</v>
      </c>
      <c r="E347" s="36" t="s">
        <v>826</v>
      </c>
      <c r="F347" s="36" t="s">
        <v>697</v>
      </c>
      <c r="G347" s="36" t="s">
        <v>699</v>
      </c>
      <c r="H347" s="36" t="s">
        <v>701</v>
      </c>
      <c r="I347" s="36" t="s">
        <v>703</v>
      </c>
      <c r="J347" s="36"/>
      <c r="K347" s="356" t="s">
        <v>832</v>
      </c>
      <c r="L347" s="357">
        <f>+N345-SUM(L345:L346)</f>
        <v>170</v>
      </c>
      <c r="M347" s="354"/>
      <c r="N347" s="355"/>
      <c r="O347" s="36"/>
      <c r="P347" s="36"/>
      <c r="Q347" s="36"/>
      <c r="R347" s="36"/>
      <c r="S347" s="36"/>
      <c r="T347" s="36"/>
      <c r="U347" s="36"/>
      <c r="V347" s="36"/>
    </row>
    <row r="348" spans="2:22">
      <c r="B348" s="36"/>
      <c r="C348" s="342"/>
      <c r="D348" s="343"/>
      <c r="E348" s="344"/>
      <c r="F348" s="344"/>
      <c r="G348" s="345"/>
      <c r="H348" s="345"/>
      <c r="I348" s="345"/>
      <c r="J348" s="36"/>
      <c r="K348" s="356" t="s">
        <v>835</v>
      </c>
      <c r="L348" s="357" t="s">
        <v>836</v>
      </c>
      <c r="M348" s="354"/>
      <c r="N348" s="355"/>
      <c r="O348" s="36"/>
      <c r="P348" s="36"/>
      <c r="Q348" s="36"/>
      <c r="R348" s="36"/>
      <c r="S348" s="36"/>
      <c r="T348" s="36"/>
      <c r="U348" s="36"/>
      <c r="V348" s="36"/>
    </row>
    <row r="349" spans="2:22">
      <c r="B349" s="36"/>
      <c r="C349" s="342"/>
      <c r="D349" s="350"/>
      <c r="E349" s="351"/>
      <c r="F349" s="351"/>
      <c r="G349" s="351"/>
      <c r="H349" s="351"/>
      <c r="I349" s="351"/>
      <c r="J349" s="36"/>
      <c r="K349" s="358">
        <f>+L347*0.7</f>
        <v>118.99999999999999</v>
      </c>
      <c r="L349" s="42">
        <f>+L347*0.3</f>
        <v>51</v>
      </c>
      <c r="M349" s="359"/>
      <c r="N349" s="360"/>
      <c r="O349" s="36"/>
      <c r="P349" s="36"/>
      <c r="Q349" s="36"/>
      <c r="R349" s="36"/>
      <c r="S349" s="36"/>
      <c r="T349" s="36"/>
      <c r="U349" s="36"/>
      <c r="V349" s="36"/>
    </row>
    <row r="350" spans="2:22">
      <c r="B350" s="36" t="s">
        <v>834</v>
      </c>
      <c r="C350" s="342" t="s">
        <v>843</v>
      </c>
      <c r="D350" s="342">
        <v>-200</v>
      </c>
      <c r="E350" s="342"/>
      <c r="F350" s="342"/>
      <c r="G350" s="36"/>
      <c r="H350" s="36"/>
      <c r="I350" s="36"/>
      <c r="J350" s="36"/>
      <c r="K350" s="36" t="s">
        <v>839</v>
      </c>
      <c r="L350" s="361">
        <f>+K349+L346</f>
        <v>159</v>
      </c>
      <c r="M350" s="36"/>
      <c r="N350" s="36"/>
      <c r="O350" s="36"/>
      <c r="P350" s="36"/>
      <c r="Q350" s="36"/>
      <c r="R350" s="36"/>
      <c r="S350" s="36"/>
      <c r="T350" s="36"/>
      <c r="U350" s="36"/>
      <c r="V350" s="36"/>
    </row>
    <row r="351" spans="2:22">
      <c r="B351" s="36" t="s">
        <v>834</v>
      </c>
      <c r="C351" s="342" t="s">
        <v>844</v>
      </c>
      <c r="D351" s="342">
        <v>-10</v>
      </c>
      <c r="E351" s="342" t="s">
        <v>845</v>
      </c>
      <c r="F351" s="342"/>
      <c r="G351" s="36"/>
      <c r="H351" s="36"/>
      <c r="I351" s="36"/>
      <c r="J351" s="36"/>
      <c r="K351" s="36"/>
      <c r="L351" s="36"/>
      <c r="M351" s="36"/>
      <c r="N351" s="36"/>
      <c r="O351" s="36"/>
      <c r="P351" s="36"/>
      <c r="Q351" s="36"/>
      <c r="R351" s="36"/>
      <c r="S351" s="36"/>
      <c r="T351" s="36"/>
      <c r="U351" s="36"/>
      <c r="V351" s="36"/>
    </row>
    <row r="352" spans="2:22">
      <c r="B352" s="364" t="s">
        <v>837</v>
      </c>
      <c r="C352" s="365" t="s">
        <v>846</v>
      </c>
      <c r="D352" s="365">
        <v>-50</v>
      </c>
      <c r="E352" s="342" t="s">
        <v>847</v>
      </c>
      <c r="F352" s="342"/>
      <c r="G352" s="36"/>
      <c r="H352" s="36"/>
      <c r="I352" s="36"/>
      <c r="J352" s="36"/>
      <c r="K352" s="36"/>
      <c r="L352" s="36"/>
      <c r="M352" s="36"/>
      <c r="N352" s="36"/>
      <c r="O352" s="36"/>
      <c r="P352" s="36"/>
      <c r="Q352" s="36"/>
      <c r="R352" s="36"/>
      <c r="S352" s="36"/>
      <c r="T352" s="36"/>
      <c r="U352" s="36"/>
      <c r="V352" s="36"/>
    </row>
    <row r="353" spans="2:22">
      <c r="B353" s="36" t="s">
        <v>831</v>
      </c>
      <c r="C353" s="342" t="s">
        <v>841</v>
      </c>
      <c r="D353" s="342"/>
      <c r="E353" s="342">
        <f>+SUM(D351:D352)*-0.3</f>
        <v>18</v>
      </c>
      <c r="F353" s="366"/>
      <c r="G353" s="36"/>
      <c r="H353" s="36"/>
      <c r="I353" s="36"/>
      <c r="J353" s="36"/>
      <c r="K353" s="36"/>
      <c r="L353" s="36"/>
      <c r="M353" s="36"/>
      <c r="N353" s="36"/>
      <c r="O353" s="36"/>
      <c r="P353" s="36"/>
      <c r="Q353" s="36"/>
      <c r="R353" s="36"/>
      <c r="S353" s="36"/>
      <c r="T353" s="36"/>
      <c r="U353" s="36"/>
      <c r="V353" s="36"/>
    </row>
    <row r="354" spans="2:22">
      <c r="B354" s="36"/>
      <c r="C354" s="36"/>
      <c r="D354" s="36"/>
      <c r="E354" s="36"/>
      <c r="F354" s="36"/>
      <c r="G354" s="36"/>
      <c r="H354" s="36"/>
      <c r="I354" s="36"/>
      <c r="J354" s="36"/>
      <c r="K354" s="36"/>
      <c r="L354" s="36"/>
      <c r="M354" s="36"/>
      <c r="N354" s="36"/>
      <c r="O354" s="36"/>
      <c r="P354" s="36"/>
      <c r="Q354" s="36"/>
      <c r="R354" s="36"/>
      <c r="S354" s="36"/>
      <c r="T354" s="36"/>
      <c r="U354" s="36"/>
      <c r="V354" s="36"/>
    </row>
    <row r="355" spans="2:22">
      <c r="B355" s="36" t="s">
        <v>831</v>
      </c>
      <c r="C355" s="342" t="s">
        <v>770</v>
      </c>
      <c r="D355" s="342"/>
      <c r="E355" s="36">
        <f>520+60</f>
        <v>580</v>
      </c>
      <c r="F355" s="36" t="s">
        <v>106</v>
      </c>
      <c r="G355" s="36" t="s">
        <v>106</v>
      </c>
      <c r="H355" s="36" t="s">
        <v>106</v>
      </c>
      <c r="I355" s="36" t="s">
        <v>106</v>
      </c>
      <c r="J355" s="36"/>
      <c r="K355" s="36"/>
      <c r="L355" s="36"/>
      <c r="M355" s="36"/>
      <c r="N355" s="36"/>
      <c r="O355" s="36"/>
      <c r="P355" s="36"/>
      <c r="Q355" s="36"/>
      <c r="R355" s="36"/>
      <c r="S355" s="36"/>
      <c r="T355" s="36"/>
      <c r="U355" s="36"/>
      <c r="V355" s="36"/>
    </row>
    <row r="356" spans="2:22">
      <c r="B356" s="36" t="s">
        <v>834</v>
      </c>
      <c r="C356" s="342" t="s">
        <v>827</v>
      </c>
      <c r="D356" s="342"/>
      <c r="E356" s="36">
        <f>330+40</f>
        <v>370</v>
      </c>
      <c r="F356" s="36" t="s">
        <v>106</v>
      </c>
      <c r="G356" s="36" t="s">
        <v>106</v>
      </c>
      <c r="H356" s="36" t="s">
        <v>106</v>
      </c>
      <c r="I356" s="36" t="s">
        <v>106</v>
      </c>
      <c r="J356" s="36"/>
      <c r="K356" s="36"/>
      <c r="L356" s="36"/>
      <c r="M356" s="36"/>
      <c r="N356" s="36"/>
      <c r="O356" s="36"/>
      <c r="P356" s="36"/>
      <c r="Q356" s="36"/>
      <c r="R356" s="36"/>
      <c r="S356" s="36"/>
      <c r="T356" s="36"/>
      <c r="U356" s="36"/>
      <c r="V356" s="36"/>
    </row>
    <row r="357" spans="2:22">
      <c r="B357" s="36" t="s">
        <v>837</v>
      </c>
      <c r="C357" s="36" t="s">
        <v>829</v>
      </c>
      <c r="D357" s="36"/>
      <c r="E357" s="36">
        <f>+Q338</f>
        <v>40</v>
      </c>
      <c r="F357" s="36" t="s">
        <v>106</v>
      </c>
      <c r="G357" s="36" t="s">
        <v>106</v>
      </c>
      <c r="H357" s="36" t="s">
        <v>106</v>
      </c>
      <c r="I357" s="36" t="s">
        <v>106</v>
      </c>
      <c r="J357" s="36"/>
      <c r="K357" s="36"/>
      <c r="L357" s="36"/>
      <c r="M357" s="36"/>
      <c r="N357" s="36"/>
      <c r="O357" s="36"/>
      <c r="P357" s="36"/>
      <c r="Q357" s="36"/>
      <c r="R357" s="36"/>
      <c r="S357" s="36"/>
      <c r="T357" s="36"/>
      <c r="U357" s="36"/>
      <c r="V357" s="36"/>
    </row>
    <row r="358" spans="2:22">
      <c r="B358" s="36"/>
      <c r="C358" s="36" t="s">
        <v>838</v>
      </c>
      <c r="D358" s="36"/>
      <c r="E358" s="361">
        <f>+L350</f>
        <v>159</v>
      </c>
      <c r="F358" s="36" t="s">
        <v>106</v>
      </c>
      <c r="G358" s="36" t="s">
        <v>106</v>
      </c>
      <c r="H358" s="36" t="s">
        <v>106</v>
      </c>
      <c r="I358" s="36" t="s">
        <v>106</v>
      </c>
      <c r="J358" s="36"/>
      <c r="K358" s="36"/>
      <c r="L358" s="36"/>
      <c r="M358" s="36"/>
      <c r="N358" s="36"/>
      <c r="O358" s="36"/>
      <c r="P358" s="36"/>
      <c r="Q358" s="36"/>
      <c r="R358" s="36"/>
      <c r="S358" s="36"/>
      <c r="T358" s="36"/>
      <c r="U358" s="36"/>
      <c r="V358" s="36"/>
    </row>
    <row r="359" spans="2:22">
      <c r="B359" s="36"/>
      <c r="C359" s="362" t="s">
        <v>840</v>
      </c>
      <c r="D359" s="36"/>
      <c r="E359" s="36"/>
      <c r="F359" s="36"/>
      <c r="G359" s="36"/>
      <c r="H359" s="36"/>
      <c r="I359" s="362">
        <v>-5</v>
      </c>
      <c r="J359" s="36" t="s">
        <v>848</v>
      </c>
      <c r="K359" s="36"/>
      <c r="L359" s="36"/>
      <c r="M359" s="36"/>
      <c r="N359" s="36"/>
      <c r="O359" s="36"/>
      <c r="P359" s="36"/>
      <c r="Q359" s="36"/>
      <c r="R359" s="36"/>
      <c r="S359" s="36"/>
      <c r="T359" s="36"/>
      <c r="U359" s="36"/>
      <c r="V359" s="36"/>
    </row>
    <row r="360" spans="2:22">
      <c r="B360" s="36"/>
      <c r="C360" s="362" t="s">
        <v>841</v>
      </c>
      <c r="D360" s="36"/>
      <c r="E360" s="36"/>
      <c r="F360" s="36"/>
      <c r="G360" s="36"/>
      <c r="H360" s="36"/>
      <c r="I360" s="363">
        <f>+I359*0.3</f>
        <v>-1.5</v>
      </c>
      <c r="J360" s="36"/>
      <c r="K360" s="36"/>
      <c r="L360" s="36"/>
      <c r="M360" s="36"/>
      <c r="N360" s="36"/>
      <c r="O360" s="36"/>
      <c r="P360" s="36"/>
      <c r="Q360" s="36"/>
      <c r="R360" s="36"/>
      <c r="S360" s="36"/>
      <c r="T360" s="36"/>
      <c r="U360" s="36"/>
      <c r="V360" s="36"/>
    </row>
    <row r="361" spans="2:22">
      <c r="B361" s="36"/>
      <c r="C361" s="36"/>
      <c r="D361" s="36"/>
      <c r="E361" s="36"/>
      <c r="F361" s="36"/>
      <c r="G361" s="36"/>
      <c r="H361" s="36"/>
      <c r="I361" s="36"/>
      <c r="J361" s="36"/>
      <c r="K361" s="36"/>
      <c r="L361" s="36"/>
      <c r="M361" s="36"/>
      <c r="N361" s="36"/>
      <c r="O361" s="36"/>
      <c r="P361" s="36"/>
      <c r="Q361" s="36"/>
      <c r="R361" s="36"/>
      <c r="S361" s="36"/>
      <c r="T361" s="36"/>
      <c r="U361" s="36"/>
      <c r="V361" s="36"/>
    </row>
    <row r="362" spans="2:22">
      <c r="B362" s="36" t="s">
        <v>849</v>
      </c>
      <c r="C362" s="36"/>
      <c r="D362" s="36" t="s">
        <v>825</v>
      </c>
      <c r="E362" s="36" t="s">
        <v>826</v>
      </c>
      <c r="F362" s="36" t="s">
        <v>697</v>
      </c>
      <c r="G362" s="36" t="s">
        <v>699</v>
      </c>
      <c r="H362" s="36" t="s">
        <v>701</v>
      </c>
      <c r="I362" s="36" t="s">
        <v>703</v>
      </c>
      <c r="J362" s="36"/>
      <c r="K362" s="36"/>
      <c r="L362" s="36"/>
      <c r="M362" s="36"/>
      <c r="N362" s="36"/>
      <c r="O362" s="36"/>
      <c r="P362" s="36"/>
      <c r="Q362" s="36"/>
      <c r="R362" s="36"/>
      <c r="S362" s="36"/>
      <c r="T362" s="36"/>
      <c r="U362" s="36"/>
      <c r="V362" s="36"/>
    </row>
    <row r="363" spans="2:22">
      <c r="B363" s="36"/>
      <c r="C363" s="36"/>
      <c r="D363" s="343"/>
      <c r="E363" s="344"/>
      <c r="F363" s="344"/>
      <c r="G363" s="345"/>
      <c r="H363" s="345"/>
      <c r="I363" s="345"/>
      <c r="J363" s="36"/>
      <c r="K363" s="36"/>
      <c r="L363" s="36"/>
      <c r="M363" s="36"/>
      <c r="N363" s="36"/>
      <c r="O363" s="36"/>
      <c r="P363" s="36"/>
      <c r="Q363" s="36"/>
      <c r="R363" s="36"/>
      <c r="S363" s="36"/>
      <c r="T363" s="36"/>
      <c r="U363" s="36"/>
      <c r="V363" s="36"/>
    </row>
    <row r="364" spans="2:22">
      <c r="B364" s="36"/>
      <c r="C364" s="36"/>
      <c r="D364" s="350"/>
      <c r="E364" s="351"/>
      <c r="F364" s="351"/>
      <c r="G364" s="351"/>
      <c r="H364" s="351"/>
      <c r="I364" s="351"/>
      <c r="J364" s="36"/>
      <c r="K364" s="36"/>
      <c r="L364" s="36"/>
      <c r="M364" s="36"/>
      <c r="N364" s="36"/>
      <c r="O364" s="36"/>
      <c r="P364" s="36"/>
      <c r="Q364" s="36"/>
      <c r="R364" s="36"/>
      <c r="S364" s="36"/>
      <c r="T364" s="36"/>
      <c r="U364" s="36"/>
      <c r="V364" s="36"/>
    </row>
    <row r="365" spans="2:22">
      <c r="B365" s="36" t="s">
        <v>834</v>
      </c>
      <c r="C365" s="36" t="s">
        <v>843</v>
      </c>
      <c r="D365" s="367">
        <f>+D350</f>
        <v>-200</v>
      </c>
      <c r="E365" s="367"/>
      <c r="F365" s="367"/>
      <c r="G365" s="367"/>
      <c r="H365" s="367"/>
      <c r="I365" s="367"/>
      <c r="J365" s="36"/>
      <c r="K365" s="36"/>
      <c r="L365" s="36"/>
      <c r="M365" s="36"/>
      <c r="N365" s="36"/>
      <c r="O365" s="36"/>
      <c r="P365" s="36"/>
      <c r="Q365" s="36"/>
      <c r="R365" s="36"/>
      <c r="S365" s="36"/>
      <c r="T365" s="36"/>
      <c r="U365" s="36"/>
      <c r="V365" s="36"/>
    </row>
    <row r="366" spans="2:22">
      <c r="B366" s="36" t="s">
        <v>834</v>
      </c>
      <c r="C366" s="36" t="s">
        <v>844</v>
      </c>
      <c r="D366" s="367">
        <f>+D351</f>
        <v>-10</v>
      </c>
      <c r="E366" s="367"/>
      <c r="F366" s="367"/>
      <c r="G366" s="367"/>
      <c r="H366" s="367"/>
      <c r="I366" s="367"/>
      <c r="J366" s="36"/>
      <c r="K366" s="36"/>
      <c r="L366" s="36"/>
      <c r="M366" s="36"/>
      <c r="N366" s="36"/>
      <c r="O366" s="36"/>
      <c r="P366" s="36"/>
      <c r="Q366" s="36"/>
      <c r="R366" s="36"/>
      <c r="S366" s="36"/>
      <c r="T366" s="36"/>
      <c r="U366" s="36"/>
      <c r="V366" s="36"/>
    </row>
    <row r="367" spans="2:22">
      <c r="B367" s="36" t="s">
        <v>831</v>
      </c>
      <c r="C367" s="36" t="s">
        <v>850</v>
      </c>
      <c r="D367" s="367"/>
      <c r="E367" s="368">
        <f>+E353</f>
        <v>18</v>
      </c>
      <c r="F367" s="367"/>
      <c r="G367" s="367"/>
      <c r="H367" s="367"/>
      <c r="I367" s="367"/>
      <c r="J367" s="36"/>
      <c r="K367" s="36"/>
      <c r="L367" s="36"/>
      <c r="M367" s="36"/>
      <c r="N367" s="36"/>
      <c r="O367" s="36"/>
      <c r="P367" s="36"/>
      <c r="Q367" s="36"/>
      <c r="R367" s="36"/>
      <c r="S367" s="36"/>
      <c r="T367" s="36"/>
      <c r="U367" s="36"/>
      <c r="V367" s="36"/>
    </row>
    <row r="368" spans="2:22">
      <c r="B368" s="36"/>
      <c r="C368" s="36" t="s">
        <v>839</v>
      </c>
      <c r="D368" s="367"/>
      <c r="E368" s="367">
        <f>+E358-E341</f>
        <v>58</v>
      </c>
      <c r="F368" s="367">
        <f>+E368</f>
        <v>58</v>
      </c>
      <c r="G368" s="367">
        <f>+F368</f>
        <v>58</v>
      </c>
      <c r="H368" s="367">
        <f>+G368</f>
        <v>58</v>
      </c>
      <c r="I368" s="367">
        <f>+H368</f>
        <v>58</v>
      </c>
      <c r="J368" s="36"/>
      <c r="K368" s="36"/>
      <c r="L368" s="36"/>
      <c r="M368" s="36"/>
      <c r="N368" s="36"/>
      <c r="O368" s="36"/>
      <c r="P368" s="36"/>
      <c r="Q368" s="36"/>
      <c r="R368" s="36"/>
      <c r="S368" s="36"/>
      <c r="T368" s="36"/>
      <c r="U368" s="36"/>
      <c r="V368" s="36"/>
    </row>
    <row r="369" spans="2:22">
      <c r="B369" s="36"/>
      <c r="C369" s="369" t="s">
        <v>683</v>
      </c>
      <c r="D369" s="370">
        <f t="shared" ref="D369:I369" si="21">+SUM(D365:D368)</f>
        <v>-210</v>
      </c>
      <c r="E369" s="371">
        <f t="shared" si="21"/>
        <v>76</v>
      </c>
      <c r="F369" s="370">
        <f t="shared" si="21"/>
        <v>58</v>
      </c>
      <c r="G369" s="370">
        <f t="shared" si="21"/>
        <v>58</v>
      </c>
      <c r="H369" s="370">
        <f t="shared" si="21"/>
        <v>58</v>
      </c>
      <c r="I369" s="370">
        <f t="shared" si="21"/>
        <v>58</v>
      </c>
      <c r="J369" s="36"/>
      <c r="K369" s="36"/>
      <c r="L369" s="36"/>
      <c r="M369" s="36"/>
      <c r="N369" s="36"/>
      <c r="O369" s="36"/>
      <c r="P369" s="36"/>
      <c r="Q369" s="36"/>
      <c r="R369" s="36"/>
      <c r="S369" s="36"/>
      <c r="T369" s="36"/>
      <c r="U369" s="36"/>
      <c r="V369" s="36"/>
    </row>
    <row r="370" spans="2:22">
      <c r="B370" s="36"/>
      <c r="C370" s="36" t="s">
        <v>851</v>
      </c>
      <c r="D370" s="367">
        <f>+D369</f>
        <v>-210</v>
      </c>
      <c r="E370" s="367">
        <f>+E369*E373</f>
        <v>71.029600000000002</v>
      </c>
      <c r="F370" s="473">
        <f>+F369*F374</f>
        <v>183.60480000000001</v>
      </c>
      <c r="G370" s="474"/>
      <c r="H370" s="474"/>
      <c r="I370" s="475"/>
      <c r="J370" s="36"/>
      <c r="K370" s="36"/>
      <c r="L370" s="36"/>
      <c r="M370" s="36"/>
      <c r="N370" s="36"/>
      <c r="O370" s="36"/>
      <c r="P370" s="36"/>
      <c r="Q370" s="36"/>
      <c r="R370" s="36"/>
      <c r="S370" s="36"/>
      <c r="T370" s="36"/>
      <c r="U370" s="36"/>
      <c r="V370" s="36"/>
    </row>
    <row r="371" spans="2:22">
      <c r="B371" s="36"/>
      <c r="C371" s="372" t="s">
        <v>852</v>
      </c>
      <c r="D371" s="373">
        <f>+SUM(D370:I370)</f>
        <v>44.634400000000028</v>
      </c>
      <c r="E371" s="374" t="s">
        <v>853</v>
      </c>
      <c r="F371" s="367"/>
      <c r="G371" s="367"/>
      <c r="H371" s="367"/>
      <c r="I371" s="367" t="s">
        <v>854</v>
      </c>
      <c r="J371" s="36"/>
      <c r="K371" s="36"/>
      <c r="L371" s="36"/>
      <c r="M371" s="36"/>
      <c r="N371" s="36"/>
      <c r="O371" s="36"/>
      <c r="P371" s="36"/>
      <c r="Q371" s="36"/>
      <c r="R371" s="36"/>
      <c r="S371" s="36"/>
      <c r="T371" s="36"/>
      <c r="U371" s="36"/>
      <c r="V371" s="36"/>
    </row>
    <row r="372" spans="2:22">
      <c r="B372" s="36"/>
      <c r="C372" s="36"/>
      <c r="D372" s="367"/>
      <c r="E372" s="367"/>
      <c r="F372" s="367"/>
      <c r="G372" s="367"/>
      <c r="H372" s="367"/>
      <c r="I372" s="367"/>
      <c r="J372" s="36"/>
      <c r="K372" s="36"/>
      <c r="L372" s="36"/>
      <c r="M372" s="36"/>
      <c r="N372" s="36"/>
      <c r="O372" s="36"/>
      <c r="P372" s="36"/>
      <c r="Q372" s="36"/>
      <c r="R372" s="36"/>
      <c r="S372" s="36"/>
      <c r="T372" s="36"/>
      <c r="U372" s="36"/>
      <c r="V372" s="36"/>
    </row>
    <row r="373" spans="2:22">
      <c r="B373" s="36"/>
      <c r="C373" s="36" t="s">
        <v>855</v>
      </c>
      <c r="D373" s="367"/>
      <c r="E373" s="375">
        <v>0.93459999999999999</v>
      </c>
      <c r="F373" s="375">
        <v>0.87339999999999995</v>
      </c>
      <c r="G373" s="375">
        <v>0.81630000000000003</v>
      </c>
      <c r="H373" s="375">
        <v>0.76290000000000002</v>
      </c>
      <c r="I373" s="375">
        <v>0.71299999999999997</v>
      </c>
      <c r="J373" s="36"/>
      <c r="K373" s="36"/>
      <c r="L373" s="36"/>
      <c r="M373" s="36"/>
      <c r="N373" s="36"/>
      <c r="O373" s="36"/>
      <c r="P373" s="36"/>
      <c r="Q373" s="36"/>
      <c r="R373" s="36"/>
      <c r="S373" s="36"/>
      <c r="T373" s="36"/>
      <c r="U373" s="36"/>
      <c r="V373" s="36"/>
    </row>
    <row r="374" spans="2:22">
      <c r="B374" s="36"/>
      <c r="C374" s="36"/>
      <c r="D374" s="367"/>
      <c r="E374" s="367"/>
      <c r="F374" s="476">
        <f>+SUM(F373:I373)</f>
        <v>3.1656</v>
      </c>
      <c r="G374" s="477"/>
      <c r="H374" s="477"/>
      <c r="I374" s="478"/>
      <c r="J374" s="36" t="s">
        <v>856</v>
      </c>
      <c r="K374" s="36"/>
      <c r="L374" s="36"/>
      <c r="M374" s="36"/>
      <c r="N374" s="36"/>
      <c r="O374" s="36"/>
      <c r="P374" s="36"/>
      <c r="Q374" s="36"/>
      <c r="R374" s="36"/>
      <c r="S374" s="36"/>
      <c r="T374" s="36"/>
      <c r="U374" s="36"/>
      <c r="V374" s="36"/>
    </row>
    <row r="375" spans="2:22">
      <c r="B375" s="36"/>
      <c r="C375" s="36"/>
      <c r="D375" s="367"/>
      <c r="E375" s="367"/>
      <c r="F375" s="376"/>
      <c r="G375" s="376"/>
      <c r="H375" s="376"/>
      <c r="I375" s="376"/>
      <c r="J375" s="36"/>
      <c r="K375" s="36"/>
      <c r="L375" s="36"/>
      <c r="M375" s="36"/>
      <c r="N375" s="36"/>
      <c r="O375" s="36"/>
      <c r="P375" s="36"/>
      <c r="Q375" s="36"/>
      <c r="R375" s="36"/>
      <c r="S375" s="36"/>
      <c r="T375" s="36"/>
      <c r="U375" s="36"/>
      <c r="V375" s="36"/>
    </row>
    <row r="376" spans="2:22">
      <c r="B376" s="479" t="s">
        <v>857</v>
      </c>
      <c r="C376" s="377" t="s">
        <v>858</v>
      </c>
      <c r="D376" s="377"/>
      <c r="E376" s="342" t="s">
        <v>859</v>
      </c>
      <c r="F376" s="377"/>
      <c r="G376" s="377"/>
      <c r="H376" s="377"/>
      <c r="I376" s="342" t="s">
        <v>860</v>
      </c>
      <c r="J376" s="378" t="s">
        <v>861</v>
      </c>
      <c r="K376" s="377"/>
      <c r="L376" s="377"/>
      <c r="M376" s="377"/>
      <c r="N376" s="36"/>
      <c r="O376" s="36"/>
      <c r="P376" s="36"/>
      <c r="Q376" s="36"/>
      <c r="R376" s="36"/>
      <c r="S376" s="36"/>
      <c r="T376" s="36"/>
      <c r="U376" s="36"/>
      <c r="V376" s="36"/>
    </row>
    <row r="377" spans="2:22">
      <c r="B377" s="480"/>
      <c r="C377" s="377"/>
      <c r="D377" s="377"/>
      <c r="E377" s="342"/>
      <c r="F377" s="377"/>
      <c r="G377" s="377"/>
      <c r="H377" s="377"/>
      <c r="I377" s="342"/>
      <c r="J377" s="378" t="s">
        <v>862</v>
      </c>
      <c r="K377" s="377"/>
      <c r="L377" s="377"/>
      <c r="M377" s="377"/>
      <c r="N377" s="36"/>
      <c r="O377" s="36"/>
      <c r="P377" s="36"/>
      <c r="Q377" s="36"/>
      <c r="R377" s="36"/>
      <c r="S377" s="36"/>
      <c r="T377" s="36"/>
      <c r="U377" s="36"/>
      <c r="V377" s="36"/>
    </row>
    <row r="378" spans="2:22">
      <c r="B378" s="480"/>
      <c r="C378" s="377" t="s">
        <v>863</v>
      </c>
      <c r="D378" s="377"/>
      <c r="E378" s="379">
        <f>+(N345-L345-L346)-(N336-L336-L337)</f>
        <v>40</v>
      </c>
      <c r="F378" s="377" t="s">
        <v>864</v>
      </c>
      <c r="G378" s="377"/>
      <c r="H378" s="377"/>
      <c r="I378" s="379">
        <f>+E378+SUM(D351:D352)</f>
        <v>-20</v>
      </c>
      <c r="J378" s="380" t="s">
        <v>865</v>
      </c>
      <c r="K378" s="377"/>
      <c r="L378" s="377"/>
      <c r="M378" s="377"/>
      <c r="N378" s="36"/>
      <c r="O378" s="36"/>
      <c r="P378" s="36"/>
      <c r="Q378" s="36"/>
      <c r="R378" s="36"/>
      <c r="S378" s="36"/>
      <c r="T378" s="36"/>
      <c r="U378" s="36"/>
      <c r="V378" s="36"/>
    </row>
    <row r="379" spans="2:22">
      <c r="B379" s="480"/>
      <c r="C379" s="377" t="s">
        <v>866</v>
      </c>
      <c r="D379" s="377"/>
      <c r="E379" s="381">
        <f>-(L349-L340)+E367</f>
        <v>6</v>
      </c>
      <c r="F379" s="377" t="s">
        <v>867</v>
      </c>
      <c r="G379" s="377"/>
      <c r="H379" s="377"/>
      <c r="I379" s="381">
        <f>+E379</f>
        <v>6</v>
      </c>
      <c r="J379" s="377"/>
      <c r="K379" s="377"/>
      <c r="L379" s="377"/>
      <c r="M379" s="377"/>
      <c r="N379" s="36"/>
      <c r="O379" s="36"/>
      <c r="P379" s="36"/>
      <c r="Q379" s="36"/>
      <c r="R379" s="36"/>
      <c r="S379" s="36"/>
      <c r="T379" s="36"/>
      <c r="U379" s="36"/>
      <c r="V379" s="36"/>
    </row>
    <row r="380" spans="2:22">
      <c r="B380" s="480"/>
      <c r="C380" s="377" t="s">
        <v>868</v>
      </c>
      <c r="D380" s="377"/>
      <c r="E380" s="342">
        <f>+SUM(E378:E379)</f>
        <v>46</v>
      </c>
      <c r="F380" s="377"/>
      <c r="G380" s="377"/>
      <c r="H380" s="377"/>
      <c r="I380" s="342">
        <f>+SUM(I378:I379)</f>
        <v>-14</v>
      </c>
      <c r="J380" s="377"/>
      <c r="K380" s="377"/>
      <c r="L380" s="377"/>
      <c r="M380" s="377"/>
      <c r="N380" s="36"/>
      <c r="O380" s="36"/>
      <c r="P380" s="36"/>
      <c r="Q380" s="36"/>
      <c r="R380" s="36"/>
      <c r="S380" s="36"/>
      <c r="T380" s="36"/>
      <c r="U380" s="36"/>
      <c r="V380" s="36"/>
    </row>
    <row r="381" spans="2:22">
      <c r="B381" s="480"/>
      <c r="C381" s="377" t="s">
        <v>869</v>
      </c>
      <c r="D381" s="377"/>
      <c r="E381" s="379">
        <f>+L346-L337</f>
        <v>30</v>
      </c>
      <c r="F381" s="377" t="s">
        <v>870</v>
      </c>
      <c r="G381" s="377"/>
      <c r="H381" s="377"/>
      <c r="I381" s="379">
        <f>+E381-SUM(D351:D352)</f>
        <v>90</v>
      </c>
      <c r="J381" s="380" t="s">
        <v>871</v>
      </c>
      <c r="K381" s="377"/>
      <c r="L381" s="377"/>
      <c r="M381" s="377"/>
      <c r="N381" s="36"/>
      <c r="O381" s="36"/>
      <c r="P381" s="36"/>
      <c r="Q381" s="36"/>
      <c r="R381" s="36"/>
      <c r="S381" s="36"/>
      <c r="T381" s="36"/>
      <c r="U381" s="36"/>
      <c r="V381" s="36"/>
    </row>
    <row r="382" spans="2:22" ht="16.8" thickBot="1">
      <c r="B382" s="481"/>
      <c r="C382" s="377" t="s">
        <v>872</v>
      </c>
      <c r="D382" s="377"/>
      <c r="E382" s="382">
        <f>+SUM(E380:E381)</f>
        <v>76</v>
      </c>
      <c r="F382" s="377"/>
      <c r="G382" s="377"/>
      <c r="H382" s="377"/>
      <c r="I382" s="382">
        <f>+SUM(I380:I381)</f>
        <v>76</v>
      </c>
      <c r="J382" s="377"/>
      <c r="K382" s="377"/>
      <c r="L382" s="377"/>
      <c r="M382" s="377"/>
      <c r="N382" s="36"/>
      <c r="O382" s="36"/>
      <c r="P382" s="36"/>
      <c r="Q382" s="36"/>
      <c r="R382" s="36"/>
      <c r="S382" s="36"/>
      <c r="T382" s="36"/>
      <c r="U382" s="36"/>
      <c r="V382" s="36"/>
    </row>
    <row r="383" spans="2:22" ht="16.8" thickTop="1"/>
  </sheetData>
  <mergeCells count="26">
    <mergeCell ref="E167:J167"/>
    <mergeCell ref="E178:I178"/>
    <mergeCell ref="G127:I127"/>
    <mergeCell ref="H136:J136"/>
    <mergeCell ref="F147:J147"/>
    <mergeCell ref="E157:J157"/>
    <mergeCell ref="F246:F247"/>
    <mergeCell ref="F248:F249"/>
    <mergeCell ref="F250:F251"/>
    <mergeCell ref="E187:I187"/>
    <mergeCell ref="O246:O247"/>
    <mergeCell ref="M248:M249"/>
    <mergeCell ref="O248:O249"/>
    <mergeCell ref="M250:M251"/>
    <mergeCell ref="O250:O251"/>
    <mergeCell ref="O252:O253"/>
    <mergeCell ref="F252:F253"/>
    <mergeCell ref="D308:D310"/>
    <mergeCell ref="F309:J309"/>
    <mergeCell ref="D248:D249"/>
    <mergeCell ref="D250:D251"/>
    <mergeCell ref="F318:J318"/>
    <mergeCell ref="F370:I370"/>
    <mergeCell ref="F374:I374"/>
    <mergeCell ref="B376:B382"/>
    <mergeCell ref="D311:D313"/>
  </mergeCells>
  <phoneticPr fontId="2"/>
  <conditionalFormatting sqref="A1:XFD1048576">
    <cfRule type="expression" dxfId="2" priority="1">
      <formula>+_xlfn.ISFORMULA(A1)</formula>
    </cfRule>
  </conditionalFormatting>
  <pageMargins left="0.25" right="0.25" top="0.75" bottom="0.75" header="0.3" footer="0.3"/>
  <pageSetup paperSize="9" scale="35"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F64EF-8B36-41B3-A997-5F5F3692DC09}">
  <sheetPr>
    <pageSetUpPr fitToPage="1"/>
  </sheetPr>
  <dimension ref="A1:P272"/>
  <sheetViews>
    <sheetView zoomScale="85" zoomScaleNormal="85" workbookViewId="0">
      <selection activeCell="B142" sqref="B142"/>
    </sheetView>
  </sheetViews>
  <sheetFormatPr defaultColWidth="13.6640625" defaultRowHeight="16.2"/>
  <cols>
    <col min="1" max="16384" width="13.6640625" style="1"/>
  </cols>
  <sheetData>
    <row r="1" spans="1:5">
      <c r="A1" s="1" t="s">
        <v>873</v>
      </c>
    </row>
    <row r="3" spans="1:5">
      <c r="A3" s="1" t="s">
        <v>174</v>
      </c>
    </row>
    <row r="4" spans="1:5">
      <c r="A4" s="385" t="s">
        <v>120</v>
      </c>
      <c r="B4" s="384"/>
      <c r="C4" s="384"/>
      <c r="D4" s="385" t="s">
        <v>771</v>
      </c>
      <c r="E4" s="385" t="s">
        <v>874</v>
      </c>
    </row>
    <row r="5" spans="1:5">
      <c r="A5" s="384"/>
      <c r="B5" s="388"/>
      <c r="C5" s="393" t="s">
        <v>32</v>
      </c>
      <c r="D5" s="386"/>
      <c r="E5" s="386"/>
    </row>
    <row r="6" spans="1:5">
      <c r="A6" s="384"/>
      <c r="B6" s="389"/>
      <c r="C6" s="397">
        <v>0.4</v>
      </c>
      <c r="D6" s="386">
        <v>0.05</v>
      </c>
      <c r="E6" s="386">
        <f>+D6</f>
        <v>0.05</v>
      </c>
    </row>
    <row r="7" spans="1:5">
      <c r="A7" s="384"/>
      <c r="B7" s="389"/>
      <c r="C7" s="398" t="s">
        <v>30</v>
      </c>
      <c r="D7" s="386"/>
      <c r="E7" s="386"/>
    </row>
    <row r="8" spans="1:5">
      <c r="A8" s="384"/>
      <c r="B8" s="390"/>
      <c r="C8" s="397">
        <v>0.6</v>
      </c>
      <c r="D8" s="386">
        <v>0.12</v>
      </c>
      <c r="E8" s="386"/>
    </row>
    <row r="10" spans="1:5">
      <c r="A10" s="384"/>
      <c r="B10" s="384"/>
      <c r="C10" s="384"/>
      <c r="D10" s="387" t="s">
        <v>875</v>
      </c>
      <c r="E10" s="399">
        <f>+E6*C6+D8*C8</f>
        <v>9.1999999999999998E-2</v>
      </c>
    </row>
    <row r="13" spans="1:5">
      <c r="A13" s="385" t="s">
        <v>211</v>
      </c>
      <c r="B13" s="384"/>
      <c r="C13" s="384"/>
      <c r="D13" s="385" t="s">
        <v>771</v>
      </c>
      <c r="E13" s="385" t="s">
        <v>874</v>
      </c>
    </row>
    <row r="14" spans="1:5">
      <c r="A14" s="384"/>
      <c r="B14" s="388"/>
      <c r="C14" s="393" t="s">
        <v>32</v>
      </c>
      <c r="D14" s="386"/>
      <c r="E14" s="386"/>
    </row>
    <row r="15" spans="1:5">
      <c r="A15" s="384"/>
      <c r="B15" s="389"/>
      <c r="C15" s="397">
        <v>0.4</v>
      </c>
      <c r="D15" s="386">
        <v>0.05</v>
      </c>
      <c r="E15" s="386">
        <f>+D15*0.7</f>
        <v>3.4999999999999996E-2</v>
      </c>
    </row>
    <row r="16" spans="1:5">
      <c r="A16" s="384"/>
      <c r="B16" s="389"/>
      <c r="C16" s="398" t="s">
        <v>30</v>
      </c>
      <c r="D16" s="386"/>
      <c r="E16" s="386"/>
    </row>
    <row r="17" spans="1:10">
      <c r="A17" s="384"/>
      <c r="B17" s="390"/>
      <c r="C17" s="397">
        <v>0.6</v>
      </c>
      <c r="D17" s="386">
        <v>0.12</v>
      </c>
      <c r="E17" s="386"/>
    </row>
    <row r="19" spans="1:10">
      <c r="A19" s="384"/>
      <c r="B19" s="384"/>
      <c r="C19" s="384"/>
      <c r="D19" s="387" t="s">
        <v>875</v>
      </c>
      <c r="E19" s="399">
        <f>+E15*C15+D17*C17</f>
        <v>8.5999999999999993E-2</v>
      </c>
    </row>
    <row r="22" spans="1:10">
      <c r="A22" s="385" t="s">
        <v>606</v>
      </c>
      <c r="B22" s="384"/>
      <c r="C22" s="384"/>
      <c r="D22" s="385" t="s">
        <v>771</v>
      </c>
      <c r="E22" s="385" t="s">
        <v>874</v>
      </c>
    </row>
    <row r="23" spans="1:10">
      <c r="A23" s="384"/>
      <c r="B23" s="388"/>
      <c r="C23" s="393" t="s">
        <v>32</v>
      </c>
      <c r="D23" s="386"/>
      <c r="E23" s="386"/>
      <c r="G23" s="1" t="s">
        <v>877</v>
      </c>
      <c r="H23" s="18"/>
      <c r="I23" s="383"/>
      <c r="J23" s="383"/>
    </row>
    <row r="24" spans="1:10">
      <c r="A24" s="384"/>
      <c r="B24" s="389"/>
      <c r="C24" s="397">
        <v>0.5</v>
      </c>
      <c r="D24" s="386">
        <v>0.04</v>
      </c>
      <c r="E24" s="386">
        <f>+D24*0.7</f>
        <v>2.7999999999999997E-2</v>
      </c>
      <c r="G24" s="386">
        <v>7.0000000000000007E-2</v>
      </c>
      <c r="H24" s="18"/>
      <c r="I24" s="383"/>
      <c r="J24" s="383"/>
    </row>
    <row r="25" spans="1:10">
      <c r="A25" s="384"/>
      <c r="B25" s="389"/>
      <c r="C25" s="398" t="s">
        <v>30</v>
      </c>
      <c r="D25" s="386"/>
      <c r="E25" s="386"/>
      <c r="H25" s="18"/>
      <c r="I25" s="383"/>
      <c r="J25" s="383"/>
    </row>
    <row r="26" spans="1:10">
      <c r="A26" s="384"/>
      <c r="B26" s="390"/>
      <c r="C26" s="397">
        <v>0.5</v>
      </c>
      <c r="D26" s="392">
        <f>+(G24-G27)*0.8+G27</f>
        <v>6.0000000000000012E-2</v>
      </c>
      <c r="E26" s="386"/>
      <c r="G26" s="1" t="s">
        <v>876</v>
      </c>
      <c r="H26" s="18"/>
      <c r="I26" s="383"/>
      <c r="J26" s="383"/>
    </row>
    <row r="27" spans="1:10">
      <c r="G27" s="386">
        <v>0.02</v>
      </c>
      <c r="H27" s="18"/>
      <c r="I27" s="383"/>
      <c r="J27" s="383"/>
    </row>
    <row r="28" spans="1:10">
      <c r="A28" s="384"/>
      <c r="B28" s="384"/>
      <c r="C28" s="384"/>
      <c r="D28" s="387" t="s">
        <v>875</v>
      </c>
      <c r="E28" s="399">
        <f>+E24*C24+D26*C26</f>
        <v>4.4000000000000004E-2</v>
      </c>
      <c r="H28" s="19"/>
      <c r="I28" s="2"/>
      <c r="J28" s="2"/>
    </row>
    <row r="29" spans="1:10">
      <c r="J29" s="1" t="s">
        <v>878</v>
      </c>
    </row>
    <row r="30" spans="1:10">
      <c r="A30" s="385" t="s">
        <v>665</v>
      </c>
      <c r="B30" s="384"/>
      <c r="C30" s="384"/>
      <c r="D30" s="385" t="s">
        <v>771</v>
      </c>
      <c r="E30" s="385" t="s">
        <v>874</v>
      </c>
    </row>
    <row r="31" spans="1:10">
      <c r="A31" s="384"/>
      <c r="B31" s="388"/>
      <c r="C31" s="393" t="s">
        <v>32</v>
      </c>
      <c r="D31" s="386"/>
      <c r="E31" s="386"/>
    </row>
    <row r="32" spans="1:10">
      <c r="A32" s="384"/>
      <c r="B32" s="389"/>
      <c r="C32" s="397">
        <v>0.5</v>
      </c>
      <c r="D32" s="386">
        <v>0.04</v>
      </c>
      <c r="E32" s="386">
        <f>+D32*0.7</f>
        <v>2.7999999999999997E-2</v>
      </c>
      <c r="G32" s="1" t="s">
        <v>879</v>
      </c>
    </row>
    <row r="33" spans="1:9">
      <c r="A33" s="384"/>
      <c r="B33" s="389"/>
      <c r="C33" s="398" t="s">
        <v>30</v>
      </c>
      <c r="D33" s="386"/>
      <c r="E33" s="386"/>
      <c r="G33" s="1" t="s">
        <v>880</v>
      </c>
    </row>
    <row r="34" spans="1:9">
      <c r="A34" s="384"/>
      <c r="B34" s="390"/>
      <c r="C34" s="397">
        <v>0.5</v>
      </c>
      <c r="D34" s="386">
        <f>+I37+I38</f>
        <v>0.1</v>
      </c>
      <c r="E34" s="386"/>
      <c r="G34" s="502">
        <v>1000</v>
      </c>
      <c r="H34" s="2" t="s">
        <v>881</v>
      </c>
      <c r="I34" s="2">
        <v>80</v>
      </c>
    </row>
    <row r="35" spans="1:9">
      <c r="G35" s="502"/>
      <c r="H35" s="1" t="s">
        <v>883</v>
      </c>
    </row>
    <row r="36" spans="1:9">
      <c r="A36" s="384"/>
      <c r="B36" s="384"/>
      <c r="C36" s="384"/>
      <c r="D36" s="387" t="s">
        <v>875</v>
      </c>
      <c r="E36" s="399">
        <f>+E32*C32+D34*C34</f>
        <v>6.4000000000000001E-2</v>
      </c>
    </row>
    <row r="37" spans="1:9">
      <c r="H37" s="404" t="s">
        <v>883</v>
      </c>
      <c r="I37" s="386">
        <f>+I34/G34</f>
        <v>0.08</v>
      </c>
    </row>
    <row r="38" spans="1:9">
      <c r="H38" s="1" t="s">
        <v>882</v>
      </c>
      <c r="I38" s="386">
        <v>0.02</v>
      </c>
    </row>
    <row r="40" spans="1:9">
      <c r="A40" s="1" t="s">
        <v>187</v>
      </c>
    </row>
    <row r="41" spans="1:9">
      <c r="B41" s="384"/>
      <c r="C41" s="384"/>
      <c r="D41" s="385" t="s">
        <v>771</v>
      </c>
      <c r="E41" s="385" t="s">
        <v>874</v>
      </c>
    </row>
    <row r="42" spans="1:9">
      <c r="B42" s="388"/>
      <c r="C42" s="393" t="s">
        <v>32</v>
      </c>
      <c r="D42" s="386"/>
      <c r="E42" s="386"/>
    </row>
    <row r="43" spans="1:9">
      <c r="B43" s="389"/>
      <c r="C43" s="394">
        <v>387374</v>
      </c>
      <c r="D43" s="386">
        <v>7.0000000000000007E-2</v>
      </c>
      <c r="E43" s="386">
        <f>+D43*0.7</f>
        <v>4.9000000000000002E-2</v>
      </c>
    </row>
    <row r="44" spans="1:9">
      <c r="B44" s="389"/>
      <c r="C44" s="396" t="s">
        <v>30</v>
      </c>
      <c r="D44" s="386"/>
      <c r="E44" s="386"/>
    </row>
    <row r="45" spans="1:9">
      <c r="B45" s="390"/>
      <c r="C45" s="394">
        <v>581061</v>
      </c>
      <c r="D45" s="386">
        <v>0.09</v>
      </c>
      <c r="E45" s="386"/>
    </row>
    <row r="46" spans="1:9">
      <c r="C46" s="1">
        <f>+SUM(C43:C45)</f>
        <v>968435</v>
      </c>
    </row>
    <row r="47" spans="1:9">
      <c r="B47" s="384"/>
      <c r="C47" s="384"/>
      <c r="D47" s="405" t="s">
        <v>875</v>
      </c>
      <c r="E47" s="406">
        <f>+E43*C43/C46+D45*C45/C46</f>
        <v>7.3599999999999999E-2</v>
      </c>
    </row>
    <row r="49" spans="1:7">
      <c r="A49" s="1" t="s">
        <v>188</v>
      </c>
    </row>
    <row r="50" spans="1:7">
      <c r="B50" s="1" t="s">
        <v>884</v>
      </c>
    </row>
    <row r="52" spans="1:7">
      <c r="B52" s="1" t="s">
        <v>885</v>
      </c>
      <c r="C52" s="1" t="s">
        <v>179</v>
      </c>
      <c r="D52" s="1" t="s">
        <v>886</v>
      </c>
      <c r="E52" s="407" t="s">
        <v>887</v>
      </c>
      <c r="F52" s="1" t="s">
        <v>888</v>
      </c>
      <c r="G52" s="1" t="s">
        <v>889</v>
      </c>
    </row>
    <row r="55" spans="1:7">
      <c r="C55" s="1" t="s">
        <v>120</v>
      </c>
      <c r="D55" s="1" t="s">
        <v>211</v>
      </c>
      <c r="E55" s="1" t="s">
        <v>606</v>
      </c>
      <c r="F55" s="1" t="s">
        <v>665</v>
      </c>
    </row>
    <row r="56" spans="1:7">
      <c r="B56" s="1" t="s">
        <v>179</v>
      </c>
      <c r="C56" s="1">
        <v>200</v>
      </c>
      <c r="D56" s="1">
        <v>200</v>
      </c>
      <c r="E56" s="1">
        <v>200</v>
      </c>
      <c r="F56" s="1">
        <v>200</v>
      </c>
    </row>
    <row r="57" spans="1:7">
      <c r="B57" s="1" t="s">
        <v>886</v>
      </c>
      <c r="C57" s="1">
        <f>+C56*(1-0.3)</f>
        <v>140</v>
      </c>
      <c r="D57" s="1">
        <f t="shared" ref="D57:F57" si="0">+D56*(1-0.3)</f>
        <v>140</v>
      </c>
      <c r="E57" s="1">
        <f t="shared" si="0"/>
        <v>140</v>
      </c>
      <c r="F57" s="1">
        <f t="shared" si="0"/>
        <v>140</v>
      </c>
    </row>
    <row r="58" spans="1:7">
      <c r="B58" s="407" t="s">
        <v>890</v>
      </c>
      <c r="D58" s="1">
        <v>50</v>
      </c>
      <c r="E58" s="1">
        <v>40</v>
      </c>
      <c r="F58" s="1">
        <v>40</v>
      </c>
    </row>
    <row r="59" spans="1:7">
      <c r="B59" s="408" t="s">
        <v>888</v>
      </c>
      <c r="C59" s="409"/>
      <c r="D59" s="409">
        <v>-20</v>
      </c>
      <c r="E59" s="409">
        <f>10-15-20</f>
        <v>-25</v>
      </c>
      <c r="F59" s="410">
        <f>20-10-15</f>
        <v>-5</v>
      </c>
      <c r="G59" s="1" t="s">
        <v>893</v>
      </c>
    </row>
    <row r="60" spans="1:7">
      <c r="B60" s="1" t="s">
        <v>889</v>
      </c>
      <c r="D60" s="1">
        <v>-15</v>
      </c>
      <c r="E60" s="1">
        <v>-30</v>
      </c>
      <c r="F60" s="1">
        <v>-30</v>
      </c>
    </row>
    <row r="61" spans="1:7">
      <c r="B61" s="25" t="s">
        <v>892</v>
      </c>
      <c r="C61" s="26">
        <f>+SUM(C57:C60)</f>
        <v>140</v>
      </c>
      <c r="D61" s="26">
        <f t="shared" ref="D61:F61" si="1">+SUM(D57:D60)</f>
        <v>155</v>
      </c>
      <c r="E61" s="26">
        <f t="shared" si="1"/>
        <v>125</v>
      </c>
      <c r="F61" s="26">
        <f t="shared" si="1"/>
        <v>145</v>
      </c>
    </row>
    <row r="63" spans="1:7">
      <c r="A63" s="1" t="s">
        <v>198</v>
      </c>
    </row>
    <row r="64" spans="1:7">
      <c r="B64" s="1" t="s">
        <v>911</v>
      </c>
    </row>
    <row r="67" spans="2:7">
      <c r="B67" s="411"/>
      <c r="C67" s="411" t="s">
        <v>909</v>
      </c>
      <c r="D67" s="22" t="s">
        <v>894</v>
      </c>
      <c r="E67" s="22" t="s">
        <v>895</v>
      </c>
      <c r="F67" s="19" t="s">
        <v>896</v>
      </c>
    </row>
    <row r="68" spans="2:7">
      <c r="B68" s="412"/>
      <c r="C68" s="412"/>
      <c r="D68" s="20"/>
      <c r="E68" s="20"/>
      <c r="F68" s="17"/>
    </row>
    <row r="69" spans="2:7">
      <c r="B69" s="1" t="s">
        <v>37</v>
      </c>
      <c r="D69" s="1">
        <v>2000</v>
      </c>
    </row>
    <row r="70" spans="2:7">
      <c r="B70" s="1" t="s">
        <v>897</v>
      </c>
      <c r="D70" s="386">
        <v>0.7</v>
      </c>
    </row>
    <row r="71" spans="2:7">
      <c r="B71" s="1" t="s">
        <v>898</v>
      </c>
      <c r="D71" s="1">
        <v>300</v>
      </c>
    </row>
    <row r="72" spans="2:7">
      <c r="B72" s="1" t="s">
        <v>179</v>
      </c>
      <c r="D72" s="1">
        <f>+D69*(1-D70)-D71</f>
        <v>300.00000000000011</v>
      </c>
    </row>
    <row r="73" spans="2:7">
      <c r="B73" s="1" t="s">
        <v>901</v>
      </c>
      <c r="D73" s="1">
        <f>+D72*0.7</f>
        <v>210.00000000000006</v>
      </c>
    </row>
    <row r="74" spans="2:7">
      <c r="B74" s="1" t="s">
        <v>899</v>
      </c>
      <c r="D74" s="1">
        <v>50</v>
      </c>
    </row>
    <row r="75" spans="2:7">
      <c r="B75" s="1" t="s">
        <v>900</v>
      </c>
      <c r="D75" s="1">
        <v>20</v>
      </c>
    </row>
    <row r="76" spans="2:7">
      <c r="B76" s="1" t="s">
        <v>557</v>
      </c>
      <c r="D76" s="1">
        <v>60</v>
      </c>
    </row>
    <row r="77" spans="2:7">
      <c r="B77" s="25" t="s">
        <v>892</v>
      </c>
      <c r="C77" s="25"/>
      <c r="D77" s="26">
        <f>+D73+D76-D75-D74</f>
        <v>200.00000000000006</v>
      </c>
      <c r="E77" s="1">
        <f>+D77*1.1</f>
        <v>220.00000000000009</v>
      </c>
      <c r="F77" s="1">
        <f>+E77*1.02</f>
        <v>224.40000000000009</v>
      </c>
      <c r="G77" s="1" t="s">
        <v>902</v>
      </c>
    </row>
    <row r="78" spans="2:7">
      <c r="D78" s="1" t="s">
        <v>120</v>
      </c>
      <c r="F78" s="386">
        <v>0.1</v>
      </c>
      <c r="G78" s="1" t="s">
        <v>906</v>
      </c>
    </row>
    <row r="79" spans="2:7">
      <c r="F79" s="386">
        <v>0.08</v>
      </c>
      <c r="G79" s="1" t="s">
        <v>908</v>
      </c>
    </row>
    <row r="80" spans="2:7">
      <c r="E80" s="1">
        <f>+F77/F79</f>
        <v>2805.0000000000009</v>
      </c>
      <c r="F80" s="1" t="s">
        <v>907</v>
      </c>
    </row>
    <row r="81" spans="1:3">
      <c r="B81" s="1" t="s">
        <v>211</v>
      </c>
    </row>
    <row r="82" spans="1:3">
      <c r="B82" s="1" t="s">
        <v>903</v>
      </c>
      <c r="C82" s="1">
        <f>+D77/(1+F78)</f>
        <v>181.81818181818184</v>
      </c>
    </row>
    <row r="83" spans="1:3">
      <c r="B83" s="1" t="s">
        <v>904</v>
      </c>
      <c r="C83" s="1">
        <f>+E77/(1+F78)/(1+F78)</f>
        <v>181.81818181818184</v>
      </c>
    </row>
    <row r="84" spans="1:3">
      <c r="B84" s="1" t="s">
        <v>905</v>
      </c>
      <c r="C84" s="1">
        <f>+E80/1.1/1.1</f>
        <v>2318.1818181818185</v>
      </c>
    </row>
    <row r="85" spans="1:3" ht="16.8" thickBot="1">
      <c r="B85" s="413" t="s">
        <v>910</v>
      </c>
      <c r="C85" s="306">
        <f>+SUM(C82:C84)</f>
        <v>2681.818181818182</v>
      </c>
    </row>
    <row r="86" spans="1:3" ht="16.8" thickTop="1"/>
    <row r="88" spans="1:3">
      <c r="A88" s="1" t="s">
        <v>205</v>
      </c>
    </row>
    <row r="89" spans="1:3">
      <c r="B89" s="1" t="s">
        <v>912</v>
      </c>
    </row>
    <row r="91" spans="1:3">
      <c r="B91" s="1" t="s">
        <v>913</v>
      </c>
      <c r="C91" s="1" t="s">
        <v>915</v>
      </c>
    </row>
    <row r="92" spans="1:3">
      <c r="B92" s="1" t="s">
        <v>914</v>
      </c>
      <c r="C92" s="1" t="s">
        <v>916</v>
      </c>
    </row>
    <row r="94" spans="1:3">
      <c r="A94" s="1" t="s">
        <v>209</v>
      </c>
    </row>
    <row r="95" spans="1:3">
      <c r="B95" s="1" t="s">
        <v>917</v>
      </c>
    </row>
    <row r="97" spans="1:8">
      <c r="B97" s="1" t="s">
        <v>120</v>
      </c>
      <c r="C97" s="1" t="s">
        <v>918</v>
      </c>
    </row>
    <row r="98" spans="1:8">
      <c r="B98" s="1" t="s">
        <v>211</v>
      </c>
      <c r="C98" s="1" t="s">
        <v>919</v>
      </c>
    </row>
    <row r="100" spans="1:8">
      <c r="A100" s="1" t="s">
        <v>216</v>
      </c>
    </row>
    <row r="101" spans="1:8">
      <c r="C101" s="1" t="s">
        <v>918</v>
      </c>
    </row>
    <row r="104" spans="1:8">
      <c r="A104" s="1" t="s">
        <v>230</v>
      </c>
    </row>
    <row r="106" spans="1:8">
      <c r="A106" s="1" t="s">
        <v>174</v>
      </c>
      <c r="B106" s="1" t="s">
        <v>910</v>
      </c>
    </row>
    <row r="107" spans="1:8">
      <c r="B107" s="411"/>
      <c r="C107" s="411" t="s">
        <v>921</v>
      </c>
      <c r="D107" s="22" t="s">
        <v>922</v>
      </c>
      <c r="E107" s="411" t="s">
        <v>923</v>
      </c>
      <c r="F107" s="22" t="s">
        <v>924</v>
      </c>
      <c r="G107" s="411" t="s">
        <v>925</v>
      </c>
      <c r="H107" s="1" t="s">
        <v>907</v>
      </c>
    </row>
    <row r="108" spans="1:8">
      <c r="B108" s="412"/>
      <c r="C108" s="412"/>
      <c r="D108" s="20"/>
      <c r="E108" s="20"/>
      <c r="F108" s="17"/>
      <c r="G108" s="17"/>
    </row>
    <row r="109" spans="1:8">
      <c r="B109" s="1" t="s">
        <v>179</v>
      </c>
      <c r="D109" s="1">
        <v>300</v>
      </c>
      <c r="E109" s="1">
        <v>350</v>
      </c>
      <c r="F109" s="1">
        <v>400</v>
      </c>
      <c r="G109" s="1">
        <v>450</v>
      </c>
    </row>
    <row r="110" spans="1:8">
      <c r="B110" s="1" t="s">
        <v>901</v>
      </c>
      <c r="D110" s="1">
        <f>+D109*0.7</f>
        <v>210</v>
      </c>
      <c r="E110" s="1">
        <f t="shared" ref="E110:G110" si="2">+E109*0.7</f>
        <v>244.99999999999997</v>
      </c>
      <c r="F110" s="1">
        <f t="shared" si="2"/>
        <v>280</v>
      </c>
      <c r="G110" s="1">
        <f t="shared" si="2"/>
        <v>315</v>
      </c>
    </row>
    <row r="111" spans="1:8">
      <c r="B111" s="1" t="s">
        <v>557</v>
      </c>
      <c r="D111" s="1">
        <v>100</v>
      </c>
      <c r="E111" s="1">
        <v>120</v>
      </c>
      <c r="F111" s="1">
        <v>120</v>
      </c>
      <c r="G111" s="1">
        <v>120</v>
      </c>
    </row>
    <row r="112" spans="1:8">
      <c r="B112" s="1" t="s">
        <v>900</v>
      </c>
      <c r="D112" s="1">
        <v>40</v>
      </c>
      <c r="E112" s="1">
        <v>-30</v>
      </c>
      <c r="F112" s="1">
        <v>50</v>
      </c>
      <c r="G112" s="1">
        <v>30</v>
      </c>
    </row>
    <row r="113" spans="1:12">
      <c r="B113" s="1" t="s">
        <v>926</v>
      </c>
      <c r="D113" s="1">
        <v>180</v>
      </c>
      <c r="E113" s="1">
        <v>200</v>
      </c>
      <c r="F113" s="1">
        <v>200</v>
      </c>
      <c r="G113" s="1">
        <v>200</v>
      </c>
    </row>
    <row r="114" spans="1:12">
      <c r="B114" s="25" t="s">
        <v>891</v>
      </c>
      <c r="C114" s="25"/>
      <c r="D114" s="26">
        <f>+D110+D111-SUM(D112:D113)</f>
        <v>90</v>
      </c>
      <c r="E114" s="26">
        <f t="shared" ref="E114:G114" si="3">+E110+E111-SUM(E112:E113)</f>
        <v>195</v>
      </c>
      <c r="F114" s="26">
        <f t="shared" si="3"/>
        <v>150</v>
      </c>
      <c r="G114" s="26">
        <f t="shared" si="3"/>
        <v>205</v>
      </c>
      <c r="H114" s="1">
        <f>+G114*1.02</f>
        <v>209.1</v>
      </c>
    </row>
    <row r="115" spans="1:12">
      <c r="G115" s="1" t="s">
        <v>908</v>
      </c>
      <c r="H115" s="386">
        <f>10%-2%</f>
        <v>0.08</v>
      </c>
    </row>
    <row r="116" spans="1:12">
      <c r="G116" s="1" t="s">
        <v>907</v>
      </c>
    </row>
    <row r="117" spans="1:12">
      <c r="B117" s="1" t="s">
        <v>929</v>
      </c>
      <c r="C117" s="1">
        <v>300</v>
      </c>
      <c r="G117" s="1">
        <f>+H114/H115</f>
        <v>2613.75</v>
      </c>
    </row>
    <row r="119" spans="1:12">
      <c r="B119" s="1" t="s">
        <v>927</v>
      </c>
      <c r="D119" s="395">
        <v>0.90910000000000002</v>
      </c>
      <c r="E119" s="395">
        <v>0.82640000000000002</v>
      </c>
      <c r="F119" s="395">
        <v>0.75129999999999997</v>
      </c>
      <c r="G119" s="395">
        <v>0.68300000000000005</v>
      </c>
    </row>
    <row r="120" spans="1:12">
      <c r="B120" s="1" t="s">
        <v>928</v>
      </c>
      <c r="C120" s="1">
        <f>+C117</f>
        <v>300</v>
      </c>
      <c r="D120" s="1">
        <f>+D114*D119</f>
        <v>81.819000000000003</v>
      </c>
      <c r="E120" s="1">
        <f t="shared" ref="E120:F120" si="4">+E114*E119</f>
        <v>161.148</v>
      </c>
      <c r="F120" s="1">
        <f t="shared" si="4"/>
        <v>112.69499999999999</v>
      </c>
      <c r="G120" s="1">
        <f>SUM(G114,G117)*G119</f>
        <v>1925.2062500000002</v>
      </c>
    </row>
    <row r="121" spans="1:12">
      <c r="B121" s="25" t="s">
        <v>910</v>
      </c>
      <c r="C121" s="25">
        <f>ROUNDDOWN(SUM(C120:G120),0)</f>
        <v>2580</v>
      </c>
    </row>
    <row r="123" spans="1:12">
      <c r="A123" s="1" t="s">
        <v>187</v>
      </c>
    </row>
    <row r="124" spans="1:12">
      <c r="B124" s="1" t="s">
        <v>935</v>
      </c>
    </row>
    <row r="125" spans="1:12">
      <c r="B125" s="385"/>
      <c r="C125" s="391" t="s">
        <v>930</v>
      </c>
      <c r="D125" s="394"/>
      <c r="E125" s="394" t="s">
        <v>931</v>
      </c>
      <c r="F125" s="390"/>
      <c r="G125" s="385"/>
      <c r="H125" s="385"/>
      <c r="I125" s="385"/>
      <c r="J125" s="385"/>
      <c r="K125" s="385"/>
      <c r="L125" s="385"/>
    </row>
    <row r="126" spans="1:12">
      <c r="B126" s="385"/>
      <c r="C126" s="400">
        <v>100</v>
      </c>
      <c r="D126" s="401"/>
      <c r="E126" s="401"/>
      <c r="F126" s="402"/>
      <c r="G126" s="385"/>
      <c r="H126" s="385"/>
      <c r="I126" s="385"/>
      <c r="J126" s="385"/>
      <c r="K126" s="385"/>
      <c r="L126" s="385"/>
    </row>
    <row r="127" spans="1:12">
      <c r="B127" s="385"/>
      <c r="C127" s="385"/>
      <c r="D127" s="385"/>
      <c r="E127" s="400">
        <v>120</v>
      </c>
      <c r="F127" s="385"/>
      <c r="G127" s="385"/>
      <c r="H127" s="385"/>
      <c r="I127" s="385"/>
      <c r="J127" s="385"/>
      <c r="K127" s="385"/>
      <c r="L127" s="385"/>
    </row>
    <row r="128" spans="1:12">
      <c r="B128" s="385"/>
      <c r="C128" s="385"/>
      <c r="D128" s="385"/>
      <c r="E128" s="400">
        <v>80</v>
      </c>
      <c r="F128" s="385"/>
      <c r="G128" s="385"/>
      <c r="H128" s="385"/>
      <c r="I128" s="385"/>
      <c r="J128" s="385"/>
      <c r="K128" s="385"/>
      <c r="L128" s="385"/>
    </row>
    <row r="129" spans="1:16">
      <c r="B129" s="385" t="s">
        <v>932</v>
      </c>
      <c r="C129" s="403">
        <v>100</v>
      </c>
      <c r="D129" s="385"/>
      <c r="E129" s="385"/>
      <c r="F129" s="385"/>
      <c r="G129" s="385"/>
      <c r="H129" s="385"/>
      <c r="I129" s="385"/>
      <c r="J129" s="385"/>
      <c r="K129" s="385"/>
      <c r="L129" s="385"/>
    </row>
    <row r="130" spans="1:16">
      <c r="B130" s="385"/>
      <c r="C130" s="403">
        <v>500</v>
      </c>
      <c r="D130" s="385"/>
      <c r="E130" s="385"/>
      <c r="F130" s="385"/>
      <c r="G130" s="385"/>
      <c r="H130" s="385"/>
      <c r="I130" s="385"/>
      <c r="J130" s="385"/>
      <c r="K130" s="385"/>
      <c r="L130" s="385"/>
    </row>
    <row r="131" spans="1:16">
      <c r="B131" s="385"/>
      <c r="C131" s="403">
        <f>+C129*C130</f>
        <v>50000</v>
      </c>
      <c r="D131" s="385"/>
      <c r="E131" s="385"/>
      <c r="F131" s="385"/>
      <c r="G131" s="385"/>
      <c r="H131" s="385"/>
      <c r="I131" s="385"/>
      <c r="J131" s="385"/>
      <c r="K131" s="385"/>
      <c r="L131" s="385"/>
    </row>
    <row r="132" spans="1:16">
      <c r="B132" s="385"/>
      <c r="C132" s="385"/>
      <c r="D132" s="385"/>
      <c r="E132" s="385"/>
      <c r="F132" s="385"/>
      <c r="G132" s="385"/>
      <c r="H132" s="385"/>
      <c r="I132" s="385"/>
      <c r="J132" s="385"/>
      <c r="K132" s="385"/>
      <c r="L132" s="385"/>
    </row>
    <row r="133" spans="1:16">
      <c r="B133" s="385"/>
      <c r="C133" s="385" t="s">
        <v>120</v>
      </c>
      <c r="D133" s="385"/>
      <c r="E133" s="385"/>
      <c r="F133" s="385"/>
      <c r="G133" s="385"/>
      <c r="H133" s="385"/>
      <c r="I133" s="385"/>
      <c r="J133" s="385"/>
      <c r="K133" s="385"/>
      <c r="L133" s="385"/>
    </row>
    <row r="134" spans="1:16">
      <c r="B134" s="385"/>
      <c r="C134" s="385" t="s">
        <v>933</v>
      </c>
      <c r="D134" s="385"/>
      <c r="E134" s="385"/>
      <c r="F134" s="385"/>
      <c r="G134" s="385"/>
      <c r="H134" s="385"/>
      <c r="I134" s="385"/>
      <c r="J134" s="385"/>
      <c r="K134" s="385"/>
      <c r="L134" s="385"/>
    </row>
    <row r="135" spans="1:16">
      <c r="B135" s="385"/>
      <c r="C135" s="385"/>
      <c r="D135" s="385"/>
      <c r="E135" s="385"/>
      <c r="F135" s="385"/>
      <c r="G135" s="385"/>
      <c r="H135" s="385"/>
      <c r="I135" s="385"/>
      <c r="J135" s="385"/>
      <c r="K135" s="385"/>
      <c r="L135" s="385"/>
    </row>
    <row r="136" spans="1:16">
      <c r="B136" s="385"/>
      <c r="C136" s="385" t="s">
        <v>211</v>
      </c>
      <c r="D136" s="385"/>
      <c r="E136" s="385"/>
      <c r="F136" s="385"/>
      <c r="G136" s="385"/>
      <c r="H136" s="385"/>
      <c r="I136" s="385"/>
      <c r="J136" s="385"/>
      <c r="K136" s="385"/>
      <c r="L136" s="385"/>
    </row>
    <row r="137" spans="1:16">
      <c r="B137" s="385"/>
      <c r="C137" s="385" t="s">
        <v>934</v>
      </c>
      <c r="D137" s="385"/>
      <c r="E137" s="385"/>
      <c r="F137" s="385"/>
      <c r="G137" s="385"/>
      <c r="H137" s="385"/>
      <c r="I137" s="385"/>
      <c r="J137" s="385"/>
      <c r="K137" s="385"/>
      <c r="L137" s="385"/>
    </row>
    <row r="139" spans="1:16">
      <c r="A139" s="1" t="s">
        <v>936</v>
      </c>
    </row>
    <row r="140" spans="1:16">
      <c r="B140" s="1" t="s">
        <v>937</v>
      </c>
    </row>
    <row r="141" spans="1:16">
      <c r="B141" s="1" t="s">
        <v>965</v>
      </c>
    </row>
    <row r="142" spans="1:16">
      <c r="B142" s="36"/>
      <c r="C142" s="36"/>
      <c r="D142" s="36"/>
      <c r="E142" s="36"/>
      <c r="F142" s="36"/>
      <c r="G142" s="36"/>
      <c r="H142" s="36"/>
      <c r="I142" s="36"/>
      <c r="J142" s="36"/>
      <c r="K142" s="36"/>
      <c r="L142" s="36"/>
      <c r="M142" s="36"/>
      <c r="N142" s="36"/>
      <c r="O142" s="36"/>
      <c r="P142" s="36"/>
    </row>
    <row r="143" spans="1:16">
      <c r="B143" s="36" t="s">
        <v>120</v>
      </c>
      <c r="C143" s="36"/>
      <c r="D143" s="36"/>
      <c r="E143" s="36" t="s">
        <v>938</v>
      </c>
      <c r="F143" s="36" t="s">
        <v>939</v>
      </c>
      <c r="G143" s="36"/>
      <c r="H143" s="36"/>
      <c r="I143" s="36"/>
      <c r="J143" s="36"/>
      <c r="K143" s="36"/>
      <c r="L143" s="36"/>
      <c r="M143" s="36"/>
      <c r="N143" s="36"/>
      <c r="O143" s="36"/>
      <c r="P143" s="36"/>
    </row>
    <row r="144" spans="1:16">
      <c r="B144" s="36" t="s">
        <v>940</v>
      </c>
      <c r="C144" s="348"/>
      <c r="D144" s="414"/>
      <c r="E144" s="36"/>
      <c r="F144" s="36"/>
      <c r="G144" s="36"/>
      <c r="H144" s="36"/>
      <c r="I144" s="36"/>
      <c r="J144" s="36"/>
      <c r="K144" s="36"/>
      <c r="L144" s="36"/>
      <c r="M144" s="36"/>
      <c r="N144" s="36"/>
      <c r="O144" s="36"/>
      <c r="P144" s="36"/>
    </row>
    <row r="145" spans="2:16">
      <c r="B145" s="36"/>
      <c r="C145" s="354"/>
      <c r="D145" s="345">
        <v>324</v>
      </c>
      <c r="E145" s="252">
        <v>0.01</v>
      </c>
      <c r="F145" s="415">
        <f>+E145*0.7</f>
        <v>6.9999999999999993E-3</v>
      </c>
      <c r="G145" s="36"/>
      <c r="H145" s="36"/>
      <c r="I145" s="36"/>
      <c r="J145" s="36"/>
      <c r="K145" s="36"/>
      <c r="L145" s="36"/>
      <c r="M145" s="36"/>
      <c r="N145" s="36"/>
      <c r="O145" s="36"/>
      <c r="P145" s="36"/>
    </row>
    <row r="146" spans="2:16">
      <c r="B146" s="36"/>
      <c r="C146" s="354"/>
      <c r="D146" s="416"/>
      <c r="E146" s="36"/>
      <c r="F146" s="36"/>
      <c r="G146" s="36"/>
      <c r="H146" s="36"/>
      <c r="I146" s="36"/>
      <c r="J146" s="36"/>
      <c r="K146" s="36"/>
      <c r="L146" s="36"/>
      <c r="M146" s="36"/>
      <c r="N146" s="36"/>
      <c r="O146" s="36"/>
      <c r="P146" s="36"/>
    </row>
    <row r="147" spans="2:16">
      <c r="B147" s="36"/>
      <c r="C147" s="359"/>
      <c r="D147" s="345">
        <v>179</v>
      </c>
      <c r="E147" s="252">
        <v>0.08</v>
      </c>
      <c r="F147" s="36"/>
      <c r="G147" s="36"/>
      <c r="H147" s="36"/>
      <c r="I147" s="36"/>
      <c r="J147" s="36"/>
      <c r="K147" s="36"/>
      <c r="L147" s="36"/>
      <c r="M147" s="36"/>
      <c r="N147" s="36"/>
      <c r="O147" s="36"/>
      <c r="P147" s="36"/>
    </row>
    <row r="148" spans="2:16">
      <c r="B148" s="36"/>
      <c r="C148" s="36"/>
      <c r="D148" s="36">
        <f>+SUM(D145:D147)</f>
        <v>503</v>
      </c>
      <c r="E148" s="36" t="s">
        <v>906</v>
      </c>
      <c r="F148" s="258">
        <f>ROUND(F145*D145/D148+E147*D147/D148,3)</f>
        <v>3.3000000000000002E-2</v>
      </c>
      <c r="G148" s="36"/>
      <c r="H148" s="36"/>
      <c r="I148" s="36"/>
      <c r="J148" s="36" t="s">
        <v>941</v>
      </c>
      <c r="K148" s="36"/>
      <c r="L148" s="36"/>
      <c r="M148" s="36"/>
      <c r="N148" s="36"/>
      <c r="O148" s="36"/>
      <c r="P148" s="36"/>
    </row>
    <row r="149" spans="2:16">
      <c r="B149" s="36"/>
      <c r="C149" s="36"/>
      <c r="D149" s="36"/>
      <c r="E149" s="36"/>
      <c r="F149" s="36"/>
      <c r="G149" s="36"/>
      <c r="H149" s="36"/>
      <c r="I149" s="36"/>
      <c r="J149" s="36"/>
      <c r="K149" s="36"/>
      <c r="L149" s="36"/>
      <c r="M149" s="36"/>
      <c r="N149" s="36"/>
      <c r="O149" s="36"/>
      <c r="P149" s="36"/>
    </row>
    <row r="150" spans="2:16">
      <c r="B150" s="36" t="s">
        <v>942</v>
      </c>
      <c r="C150" s="36"/>
      <c r="D150" s="36"/>
      <c r="E150" s="36"/>
      <c r="F150" s="36"/>
      <c r="G150" s="36"/>
      <c r="H150" s="36"/>
      <c r="I150" s="36"/>
      <c r="J150" s="36"/>
      <c r="K150" s="36"/>
      <c r="L150" s="36"/>
      <c r="M150" s="36"/>
      <c r="N150" s="36"/>
      <c r="O150" s="36"/>
      <c r="P150" s="36"/>
    </row>
    <row r="151" spans="2:16">
      <c r="B151" s="36"/>
      <c r="C151" s="417" t="s">
        <v>943</v>
      </c>
      <c r="D151" s="417" t="s">
        <v>944</v>
      </c>
      <c r="E151" s="36"/>
      <c r="F151" s="36"/>
      <c r="G151" s="36"/>
      <c r="H151" s="36"/>
      <c r="I151" s="36"/>
      <c r="J151" s="36"/>
      <c r="K151" s="36"/>
      <c r="L151" s="36"/>
      <c r="M151" s="36"/>
      <c r="N151" s="36"/>
      <c r="O151" s="36"/>
      <c r="P151" s="36"/>
    </row>
    <row r="152" spans="2:16">
      <c r="B152" s="36"/>
      <c r="C152" s="418"/>
      <c r="D152" s="419">
        <v>138</v>
      </c>
      <c r="E152" s="36"/>
      <c r="F152" s="36"/>
      <c r="G152" s="36"/>
      <c r="H152" s="36"/>
      <c r="I152" s="36"/>
      <c r="J152" s="36"/>
      <c r="K152" s="36"/>
      <c r="L152" s="36"/>
      <c r="M152" s="36"/>
      <c r="N152" s="36"/>
      <c r="O152" s="36"/>
      <c r="P152" s="36"/>
    </row>
    <row r="153" spans="2:16">
      <c r="B153" s="36"/>
      <c r="C153" s="418"/>
      <c r="D153" s="420" t="s">
        <v>945</v>
      </c>
      <c r="E153" s="36"/>
      <c r="F153" s="36" t="s">
        <v>946</v>
      </c>
      <c r="G153" s="36"/>
      <c r="H153" s="36"/>
      <c r="I153" s="36"/>
      <c r="J153" s="36"/>
      <c r="K153" s="36"/>
      <c r="L153" s="36"/>
      <c r="M153" s="36"/>
      <c r="N153" s="36"/>
      <c r="O153" s="36"/>
      <c r="P153" s="36"/>
    </row>
    <row r="154" spans="2:16">
      <c r="B154" s="36"/>
      <c r="C154" s="419">
        <v>190</v>
      </c>
      <c r="D154" s="421">
        <f>+C154-D152</f>
        <v>52</v>
      </c>
      <c r="E154" s="36"/>
      <c r="F154" s="422">
        <f>+C154*F148</f>
        <v>6.2700000000000005</v>
      </c>
      <c r="G154" s="36" t="s">
        <v>947</v>
      </c>
      <c r="H154" s="36"/>
      <c r="I154" s="36"/>
      <c r="J154" s="36"/>
      <c r="K154" s="36"/>
      <c r="L154" s="36"/>
      <c r="M154" s="36"/>
      <c r="N154" s="36"/>
      <c r="O154" s="36"/>
      <c r="P154" s="36"/>
    </row>
    <row r="155" spans="2:16">
      <c r="B155" s="36"/>
      <c r="C155" s="36"/>
      <c r="D155" s="36"/>
      <c r="E155" s="36"/>
      <c r="F155" s="36"/>
      <c r="G155" s="36"/>
      <c r="H155" s="36"/>
      <c r="I155" s="36"/>
      <c r="J155" s="36"/>
      <c r="K155" s="36"/>
      <c r="L155" s="36"/>
      <c r="M155" s="36"/>
      <c r="N155" s="36"/>
      <c r="O155" s="36"/>
      <c r="P155" s="36"/>
    </row>
    <row r="156" spans="2:16">
      <c r="B156" s="36" t="s">
        <v>211</v>
      </c>
      <c r="C156" s="36" t="s">
        <v>948</v>
      </c>
      <c r="D156" s="36"/>
      <c r="E156" s="36"/>
      <c r="F156" s="36"/>
      <c r="G156" s="36"/>
      <c r="H156" s="36"/>
      <c r="I156" s="36"/>
      <c r="J156" s="36"/>
      <c r="K156" s="36"/>
      <c r="L156" s="36"/>
      <c r="M156" s="36"/>
      <c r="N156" s="36"/>
      <c r="O156" s="36"/>
      <c r="P156" s="36"/>
    </row>
    <row r="157" spans="2:16">
      <c r="B157" s="36"/>
      <c r="C157" s="36"/>
      <c r="D157" s="36"/>
      <c r="E157" s="36"/>
      <c r="F157" s="36"/>
      <c r="G157" s="36"/>
      <c r="H157" s="36"/>
      <c r="I157" s="36"/>
      <c r="J157" s="36"/>
      <c r="K157" s="36"/>
      <c r="L157" s="36"/>
      <c r="M157" s="36"/>
      <c r="N157" s="36"/>
      <c r="O157" s="36"/>
      <c r="P157" s="36"/>
    </row>
    <row r="158" spans="2:16">
      <c r="B158" s="36"/>
      <c r="C158" s="348" t="s">
        <v>827</v>
      </c>
      <c r="D158" s="423">
        <v>395</v>
      </c>
      <c r="E158" s="348" t="s">
        <v>770</v>
      </c>
      <c r="F158" s="349">
        <v>400</v>
      </c>
      <c r="G158" s="36"/>
      <c r="H158" s="36"/>
      <c r="I158" s="36"/>
      <c r="J158" s="36"/>
      <c r="K158" s="36"/>
      <c r="L158" s="36"/>
      <c r="M158" s="36"/>
      <c r="N158" s="36"/>
      <c r="O158" s="36"/>
      <c r="P158" s="36"/>
    </row>
    <row r="159" spans="2:16">
      <c r="B159" s="36"/>
      <c r="C159" s="356" t="s">
        <v>949</v>
      </c>
      <c r="D159" s="357">
        <v>1</v>
      </c>
      <c r="E159" s="354"/>
      <c r="F159" s="355"/>
      <c r="G159" s="36"/>
      <c r="H159" s="36"/>
      <c r="I159" s="36"/>
      <c r="J159" s="36"/>
      <c r="K159" s="36"/>
      <c r="L159" s="36"/>
      <c r="M159" s="36"/>
      <c r="N159" s="36"/>
      <c r="O159" s="36"/>
      <c r="P159" s="36"/>
    </row>
    <row r="160" spans="2:16">
      <c r="B160" s="36"/>
      <c r="C160" s="356" t="s">
        <v>950</v>
      </c>
      <c r="D160" s="357">
        <f>+F158-D158-D159</f>
        <v>4</v>
      </c>
      <c r="E160" s="354"/>
      <c r="F160" s="355"/>
      <c r="G160" s="36"/>
      <c r="H160" s="36"/>
      <c r="I160" s="36"/>
      <c r="J160" s="424" t="s">
        <v>951</v>
      </c>
      <c r="K160" s="424"/>
      <c r="L160" s="503" t="s">
        <v>952</v>
      </c>
      <c r="M160" s="503"/>
      <c r="N160" s="36"/>
      <c r="O160" s="36"/>
      <c r="P160" s="36"/>
    </row>
    <row r="161" spans="2:16">
      <c r="B161" s="36"/>
      <c r="C161" s="425" t="s">
        <v>953</v>
      </c>
      <c r="D161" s="357" t="s">
        <v>835</v>
      </c>
      <c r="E161" s="354"/>
      <c r="F161" s="355"/>
      <c r="G161" s="36"/>
      <c r="H161" s="36"/>
      <c r="I161" s="36"/>
      <c r="J161" s="504">
        <f>+L161/(L163-M163)</f>
        <v>5249.9999999999991</v>
      </c>
      <c r="K161" s="503" t="s">
        <v>954</v>
      </c>
      <c r="L161" s="505">
        <v>105</v>
      </c>
      <c r="M161" s="505"/>
      <c r="N161" s="36"/>
      <c r="O161" s="36"/>
      <c r="P161" s="36"/>
    </row>
    <row r="162" spans="2:16">
      <c r="B162" s="36"/>
      <c r="C162" s="426">
        <f>+D160*0.3</f>
        <v>1.2</v>
      </c>
      <c r="D162" s="427">
        <f>+D160*0.7</f>
        <v>2.8</v>
      </c>
      <c r="E162" s="359"/>
      <c r="F162" s="360"/>
      <c r="G162" s="36"/>
      <c r="H162" s="36"/>
      <c r="I162" s="36"/>
      <c r="J162" s="504"/>
      <c r="K162" s="503"/>
      <c r="L162" s="424" t="s">
        <v>906</v>
      </c>
      <c r="M162" s="428" t="s">
        <v>955</v>
      </c>
      <c r="N162" s="36"/>
      <c r="O162" s="36"/>
      <c r="P162" s="36"/>
    </row>
    <row r="163" spans="2:16">
      <c r="B163" s="36"/>
      <c r="C163" s="36" t="s">
        <v>956</v>
      </c>
      <c r="D163" s="422">
        <f>+D159+D162</f>
        <v>3.8</v>
      </c>
      <c r="E163" s="36"/>
      <c r="F163" s="36"/>
      <c r="G163" s="36"/>
      <c r="H163" s="36"/>
      <c r="I163" s="36"/>
      <c r="J163" s="424" t="s">
        <v>957</v>
      </c>
      <c r="K163" s="424"/>
      <c r="L163" s="429">
        <v>0.05</v>
      </c>
      <c r="M163" s="429">
        <v>0.03</v>
      </c>
      <c r="N163" s="36"/>
      <c r="O163" s="36"/>
      <c r="P163" s="36"/>
    </row>
    <row r="164" spans="2:16">
      <c r="B164" s="36"/>
      <c r="C164" s="36"/>
      <c r="D164" s="36"/>
      <c r="E164" s="36"/>
      <c r="F164" s="36"/>
      <c r="G164" s="36"/>
      <c r="H164" s="36"/>
      <c r="I164" s="36"/>
      <c r="J164" s="36"/>
      <c r="K164" s="36"/>
      <c r="L164" s="36"/>
      <c r="M164" s="36"/>
      <c r="N164" s="36"/>
      <c r="O164" s="36"/>
      <c r="P164" s="36"/>
    </row>
    <row r="165" spans="2:16">
      <c r="B165" s="36"/>
      <c r="C165" s="430" t="s">
        <v>958</v>
      </c>
      <c r="D165" s="430"/>
      <c r="E165" s="430"/>
      <c r="F165" s="430"/>
      <c r="G165" s="430"/>
      <c r="H165" s="430"/>
      <c r="I165" s="430"/>
      <c r="J165" s="36"/>
      <c r="K165" s="36"/>
      <c r="L165" s="36"/>
      <c r="M165" s="36"/>
      <c r="N165" s="36"/>
      <c r="O165" s="36"/>
      <c r="P165" s="36"/>
    </row>
    <row r="166" spans="2:16">
      <c r="B166" s="36"/>
      <c r="C166" s="36"/>
      <c r="D166" s="36"/>
      <c r="E166" s="36"/>
      <c r="F166" s="36"/>
      <c r="G166" s="36"/>
      <c r="H166" s="36"/>
      <c r="I166" s="36"/>
      <c r="J166" s="36"/>
      <c r="K166" s="36"/>
      <c r="L166" s="36"/>
      <c r="M166" s="36"/>
      <c r="N166" s="36"/>
      <c r="O166" s="36"/>
      <c r="P166" s="36"/>
    </row>
    <row r="167" spans="2:16">
      <c r="B167" s="36" t="s">
        <v>606</v>
      </c>
      <c r="C167" s="36" t="s">
        <v>959</v>
      </c>
      <c r="D167" s="36"/>
      <c r="E167" s="36"/>
      <c r="F167" s="36"/>
      <c r="G167" s="36"/>
      <c r="H167" s="36"/>
      <c r="I167" s="36"/>
      <c r="J167" s="36"/>
      <c r="K167" s="36"/>
      <c r="L167" s="36"/>
      <c r="M167" s="36"/>
      <c r="N167" s="36"/>
      <c r="O167" s="36"/>
      <c r="P167" s="36"/>
    </row>
    <row r="168" spans="2:16">
      <c r="B168" s="36"/>
      <c r="C168" s="36"/>
      <c r="D168" s="36"/>
      <c r="E168" s="36"/>
      <c r="F168" s="36"/>
      <c r="G168" s="36"/>
      <c r="H168" s="36"/>
      <c r="I168" s="36"/>
      <c r="J168" s="36"/>
      <c r="K168" s="36"/>
      <c r="L168" s="36"/>
      <c r="M168" s="36"/>
      <c r="N168" s="36"/>
      <c r="O168" s="36"/>
      <c r="P168" s="36"/>
    </row>
    <row r="169" spans="2:16">
      <c r="B169" s="36"/>
      <c r="C169" s="36" t="s">
        <v>960</v>
      </c>
      <c r="D169" s="36"/>
      <c r="E169" s="36" t="s">
        <v>961</v>
      </c>
      <c r="F169" s="36"/>
      <c r="G169" s="36"/>
      <c r="H169" s="36"/>
      <c r="I169" s="36"/>
      <c r="J169" s="36"/>
      <c r="K169" s="36"/>
      <c r="L169" s="36"/>
      <c r="M169" s="36"/>
      <c r="N169" s="36"/>
      <c r="O169" s="36"/>
      <c r="P169" s="36"/>
    </row>
    <row r="170" spans="2:16">
      <c r="B170" s="36"/>
      <c r="C170" s="501">
        <f>+C154</f>
        <v>190</v>
      </c>
      <c r="D170" s="501" t="s">
        <v>954</v>
      </c>
      <c r="E170" s="431">
        <f>+D163</f>
        <v>3.8</v>
      </c>
      <c r="F170" s="42" t="s">
        <v>962</v>
      </c>
      <c r="G170" s="36"/>
      <c r="H170" s="36"/>
      <c r="I170" s="36"/>
      <c r="J170" s="36"/>
      <c r="K170" s="36"/>
      <c r="L170" s="36"/>
      <c r="M170" s="36"/>
      <c r="N170" s="36"/>
      <c r="O170" s="36"/>
      <c r="P170" s="36"/>
    </row>
    <row r="171" spans="2:16">
      <c r="B171" s="36"/>
      <c r="C171" s="501"/>
      <c r="D171" s="501"/>
      <c r="E171" s="36" t="s">
        <v>906</v>
      </c>
      <c r="F171" s="41" t="s">
        <v>963</v>
      </c>
      <c r="G171" s="36"/>
      <c r="H171" s="36"/>
      <c r="I171" s="36"/>
      <c r="J171" s="36"/>
      <c r="K171" s="36"/>
      <c r="L171" s="36"/>
      <c r="M171" s="36"/>
      <c r="N171" s="36"/>
      <c r="O171" s="36"/>
      <c r="P171" s="36"/>
    </row>
    <row r="172" spans="2:16">
      <c r="B172" s="36"/>
      <c r="C172" s="36"/>
      <c r="D172" s="36"/>
      <c r="E172" s="303">
        <v>3.3000000000000002E-2</v>
      </c>
      <c r="F172" s="432">
        <f>+(C170*E172-E170)/(C170+E170)</f>
        <v>1.274509803921569E-2</v>
      </c>
      <c r="G172" s="36"/>
      <c r="H172" s="36"/>
      <c r="I172" s="36"/>
      <c r="J172" s="36"/>
      <c r="K172" s="36"/>
      <c r="L172" s="36"/>
      <c r="M172" s="36"/>
      <c r="N172" s="36"/>
      <c r="O172" s="36"/>
      <c r="P172" s="36"/>
    </row>
    <row r="173" spans="2:16">
      <c r="B173" s="36"/>
      <c r="C173" s="36"/>
      <c r="D173" s="36"/>
      <c r="E173" s="36"/>
      <c r="F173" s="433" t="s">
        <v>964</v>
      </c>
      <c r="G173" s="36"/>
      <c r="H173" s="36"/>
      <c r="I173" s="36"/>
      <c r="J173" s="36"/>
      <c r="K173" s="36"/>
      <c r="L173" s="36"/>
      <c r="M173" s="36"/>
      <c r="N173" s="36"/>
      <c r="O173" s="36"/>
      <c r="P173" s="36"/>
    </row>
    <row r="213" ht="16.8" customHeight="1"/>
    <row r="249" ht="16.8" customHeight="1"/>
    <row r="272" ht="16.8" customHeight="1"/>
  </sheetData>
  <mergeCells count="7">
    <mergeCell ref="C170:C171"/>
    <mergeCell ref="D170:D171"/>
    <mergeCell ref="G34:G35"/>
    <mergeCell ref="L160:M160"/>
    <mergeCell ref="J161:J162"/>
    <mergeCell ref="K161:K162"/>
    <mergeCell ref="L161:M161"/>
  </mergeCells>
  <phoneticPr fontId="2"/>
  <conditionalFormatting sqref="A35:F35 H35:XFD35 A1:XFD32 A33:G33 J33:XFD33 A34:XFD34 A36:XFD124 A138:XFD1048576 A125:A137 M125:XFD137">
    <cfRule type="expression" dxfId="1" priority="2">
      <formula>+_xlfn.ISFORMULA(A1)</formula>
    </cfRule>
  </conditionalFormatting>
  <conditionalFormatting sqref="B125:L137">
    <cfRule type="expression" dxfId="0" priority="1">
      <formula>+_xlfn.ISFORMULA(B125)</formula>
    </cfRule>
  </conditionalFormatting>
  <pageMargins left="0.25" right="0.25" top="0.75" bottom="0.75" header="0.3" footer="0.3"/>
  <pageSetup paperSize="9" scale="66" fitToHeight="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6286B-F43B-4957-A953-D3F32FD3E311}">
  <sheetPr>
    <pageSetUpPr fitToPage="1"/>
  </sheetPr>
  <dimension ref="A1:P322"/>
  <sheetViews>
    <sheetView zoomScale="85" zoomScaleNormal="85" workbookViewId="0">
      <selection activeCell="E28" sqref="E28"/>
    </sheetView>
  </sheetViews>
  <sheetFormatPr defaultColWidth="13.6640625" defaultRowHeight="16.2"/>
  <cols>
    <col min="1" max="16384" width="13.6640625" style="35"/>
  </cols>
  <sheetData>
    <row r="1" spans="1:5">
      <c r="A1" s="35" t="s">
        <v>292</v>
      </c>
    </row>
    <row r="2" spans="1:5">
      <c r="B2" s="35" t="s">
        <v>293</v>
      </c>
    </row>
    <row r="3" spans="1:5">
      <c r="B3" s="49" t="s">
        <v>294</v>
      </c>
    </row>
    <row r="5" spans="1:5">
      <c r="A5" s="35" t="s">
        <v>174</v>
      </c>
    </row>
    <row r="6" spans="1:5">
      <c r="B6" s="35" t="s">
        <v>295</v>
      </c>
    </row>
    <row r="7" spans="1:5">
      <c r="E7" s="35" t="s">
        <v>299</v>
      </c>
    </row>
    <row r="8" spans="1:5">
      <c r="B8" s="35" t="s">
        <v>296</v>
      </c>
      <c r="D8" s="35" t="s">
        <v>297</v>
      </c>
      <c r="E8" s="35" t="s">
        <v>298</v>
      </c>
    </row>
    <row r="9" spans="1:5">
      <c r="B9" s="35" t="s">
        <v>300</v>
      </c>
      <c r="D9" s="35" t="s">
        <v>309</v>
      </c>
      <c r="E9" s="35" t="s">
        <v>310</v>
      </c>
    </row>
    <row r="10" spans="1:5">
      <c r="B10" s="35" t="s">
        <v>301</v>
      </c>
      <c r="D10" s="35" t="s">
        <v>309</v>
      </c>
      <c r="E10" s="35" t="s">
        <v>311</v>
      </c>
    </row>
    <row r="11" spans="1:5">
      <c r="B11" s="35" t="s">
        <v>302</v>
      </c>
      <c r="D11" s="35" t="s">
        <v>309</v>
      </c>
      <c r="E11" s="35" t="s">
        <v>312</v>
      </c>
    </row>
    <row r="12" spans="1:5">
      <c r="B12" s="35" t="s">
        <v>303</v>
      </c>
      <c r="D12" s="35" t="s">
        <v>297</v>
      </c>
      <c r="E12" s="35" t="s">
        <v>305</v>
      </c>
    </row>
    <row r="13" spans="1:5">
      <c r="B13" s="35" t="s">
        <v>304</v>
      </c>
      <c r="D13" s="35" t="s">
        <v>297</v>
      </c>
      <c r="E13" s="35" t="s">
        <v>306</v>
      </c>
    </row>
    <row r="14" spans="1:5">
      <c r="B14" s="35" t="s">
        <v>307</v>
      </c>
      <c r="D14" s="35" t="s">
        <v>297</v>
      </c>
      <c r="E14" s="35" t="s">
        <v>308</v>
      </c>
    </row>
    <row r="17" spans="1:3">
      <c r="A17" s="35" t="s">
        <v>187</v>
      </c>
    </row>
    <row r="18" spans="1:3">
      <c r="B18" s="35" t="s">
        <v>313</v>
      </c>
    </row>
    <row r="21" spans="1:3">
      <c r="B21" s="35" t="s">
        <v>314</v>
      </c>
    </row>
    <row r="22" spans="1:3">
      <c r="B22" s="49" t="s">
        <v>320</v>
      </c>
    </row>
    <row r="23" spans="1:3">
      <c r="B23" s="35" t="s">
        <v>315</v>
      </c>
    </row>
    <row r="24" spans="1:3">
      <c r="B24" s="35" t="s">
        <v>316</v>
      </c>
    </row>
    <row r="25" spans="1:3">
      <c r="B25" s="49" t="s">
        <v>317</v>
      </c>
    </row>
    <row r="26" spans="1:3">
      <c r="B26" s="49" t="s">
        <v>318</v>
      </c>
    </row>
    <row r="27" spans="1:3">
      <c r="B27" s="49" t="s">
        <v>322</v>
      </c>
    </row>
    <row r="28" spans="1:3">
      <c r="B28" s="49" t="s">
        <v>321</v>
      </c>
    </row>
    <row r="29" spans="1:3">
      <c r="B29" s="49" t="s">
        <v>323</v>
      </c>
    </row>
    <row r="30" spans="1:3">
      <c r="B30" s="35" t="s">
        <v>324</v>
      </c>
    </row>
    <row r="31" spans="1:3">
      <c r="B31" s="35" t="s">
        <v>327</v>
      </c>
      <c r="C31" s="35" t="s">
        <v>329</v>
      </c>
    </row>
    <row r="32" spans="1:3">
      <c r="B32" s="35" t="s">
        <v>328</v>
      </c>
      <c r="C32" s="35" t="s">
        <v>329</v>
      </c>
    </row>
    <row r="33" spans="1:9">
      <c r="B33" s="35" t="s">
        <v>325</v>
      </c>
    </row>
    <row r="34" spans="1:9">
      <c r="B34" s="35" t="s">
        <v>326</v>
      </c>
    </row>
    <row r="36" spans="1:9">
      <c r="A36" s="35" t="s">
        <v>188</v>
      </c>
    </row>
    <row r="37" spans="1:9">
      <c r="B37" s="35" t="s">
        <v>330</v>
      </c>
    </row>
    <row r="40" spans="1:9">
      <c r="B40" s="50"/>
      <c r="C40" s="50" t="s">
        <v>113</v>
      </c>
      <c r="D40" s="50" t="s">
        <v>112</v>
      </c>
      <c r="E40" s="50" t="s">
        <v>335</v>
      </c>
      <c r="F40" s="50"/>
      <c r="G40" s="50" t="s">
        <v>113</v>
      </c>
      <c r="H40" s="50" t="s">
        <v>112</v>
      </c>
      <c r="I40" s="50" t="s">
        <v>335</v>
      </c>
    </row>
    <row r="41" spans="1:9">
      <c r="B41" s="35" t="s">
        <v>331</v>
      </c>
      <c r="C41" s="35">
        <v>50</v>
      </c>
      <c r="D41" s="35">
        <v>55</v>
      </c>
      <c r="E41" s="35">
        <f>+D41-C41</f>
        <v>5</v>
      </c>
      <c r="F41" s="51" t="s">
        <v>333</v>
      </c>
      <c r="G41" s="35">
        <v>30</v>
      </c>
      <c r="H41" s="35">
        <v>35</v>
      </c>
      <c r="I41" s="35">
        <f>+H41-G41</f>
        <v>5</v>
      </c>
    </row>
    <row r="42" spans="1:9">
      <c r="B42" s="35" t="s">
        <v>332</v>
      </c>
      <c r="C42" s="35">
        <v>80</v>
      </c>
      <c r="D42" s="35">
        <v>95</v>
      </c>
      <c r="E42" s="35">
        <f t="shared" ref="E42:E43" si="0">+D42-C42</f>
        <v>15</v>
      </c>
      <c r="F42" s="52" t="s">
        <v>334</v>
      </c>
      <c r="G42" s="35">
        <v>45</v>
      </c>
      <c r="H42" s="35">
        <v>50</v>
      </c>
      <c r="I42" s="35">
        <f t="shared" ref="I42" si="1">+H42-G42</f>
        <v>5</v>
      </c>
    </row>
    <row r="43" spans="1:9">
      <c r="B43" s="35" t="s">
        <v>39</v>
      </c>
      <c r="C43" s="35">
        <v>90</v>
      </c>
      <c r="D43" s="35">
        <v>105</v>
      </c>
      <c r="E43" s="35">
        <f t="shared" si="0"/>
        <v>15</v>
      </c>
      <c r="F43" s="52"/>
    </row>
    <row r="46" spans="1:9">
      <c r="B46" s="35" t="s">
        <v>336</v>
      </c>
    </row>
    <row r="48" spans="1:9">
      <c r="C48" s="35" t="s">
        <v>314</v>
      </c>
      <c r="E48" s="35">
        <v>30</v>
      </c>
    </row>
    <row r="49" spans="1:16">
      <c r="C49" s="35" t="s">
        <v>320</v>
      </c>
      <c r="E49" s="35">
        <v>5</v>
      </c>
    </row>
    <row r="50" spans="1:16">
      <c r="C50" s="35" t="s">
        <v>116</v>
      </c>
      <c r="E50" s="35">
        <v>-2</v>
      </c>
    </row>
    <row r="51" spans="1:16">
      <c r="C51" s="35" t="s">
        <v>84</v>
      </c>
      <c r="E51" s="35">
        <v>4</v>
      </c>
    </row>
    <row r="52" spans="1:16">
      <c r="C52" s="35" t="s">
        <v>337</v>
      </c>
      <c r="E52" s="35">
        <f>-SUM(E41:E42)</f>
        <v>-20</v>
      </c>
    </row>
    <row r="53" spans="1:16">
      <c r="C53" s="35" t="s">
        <v>338</v>
      </c>
      <c r="E53" s="35">
        <f>-E43</f>
        <v>-15</v>
      </c>
    </row>
    <row r="54" spans="1:16">
      <c r="C54" s="35" t="s">
        <v>339</v>
      </c>
      <c r="E54" s="35">
        <f>+SUM(I41:I42)</f>
        <v>10</v>
      </c>
    </row>
    <row r="55" spans="1:16">
      <c r="C55" s="35" t="s">
        <v>340</v>
      </c>
      <c r="E55" s="35">
        <f>+SUM(E48:E54)</f>
        <v>12</v>
      </c>
    </row>
    <row r="56" spans="1:16">
      <c r="C56" s="35" t="s">
        <v>341</v>
      </c>
      <c r="E56" s="35">
        <v>2</v>
      </c>
      <c r="F56" s="35" t="s">
        <v>343</v>
      </c>
    </row>
    <row r="57" spans="1:16">
      <c r="C57" s="35" t="s">
        <v>342</v>
      </c>
      <c r="E57" s="35">
        <v>-4</v>
      </c>
      <c r="F57" s="35" t="s">
        <v>343</v>
      </c>
    </row>
    <row r="58" spans="1:16">
      <c r="C58" s="35" t="s">
        <v>325</v>
      </c>
      <c r="E58" s="35">
        <v>-3</v>
      </c>
    </row>
    <row r="59" spans="1:16">
      <c r="C59" s="35" t="s">
        <v>326</v>
      </c>
      <c r="E59" s="35">
        <f>+SUM(E55:E58)</f>
        <v>7</v>
      </c>
    </row>
    <row r="61" spans="1:16">
      <c r="A61" s="35" t="s">
        <v>345</v>
      </c>
    </row>
    <row r="62" spans="1:16">
      <c r="B62" s="16" t="s">
        <v>344</v>
      </c>
    </row>
    <row r="63" spans="1:16">
      <c r="H63" s="35" t="s">
        <v>347</v>
      </c>
    </row>
    <row r="64" spans="1:16">
      <c r="C64" s="35" t="s">
        <v>314</v>
      </c>
      <c r="E64" s="35">
        <f>+I75</f>
        <v>40</v>
      </c>
      <c r="H64" s="50"/>
      <c r="I64" s="50" t="s">
        <v>113</v>
      </c>
      <c r="J64" s="50" t="s">
        <v>112</v>
      </c>
      <c r="K64" s="50" t="s">
        <v>335</v>
      </c>
      <c r="L64" s="50"/>
      <c r="M64" s="50" t="s">
        <v>113</v>
      </c>
      <c r="N64" s="50"/>
      <c r="O64" s="50" t="s">
        <v>112</v>
      </c>
      <c r="P64" s="50" t="s">
        <v>335</v>
      </c>
    </row>
    <row r="65" spans="1:16">
      <c r="B65" s="445" t="s">
        <v>356</v>
      </c>
      <c r="C65" s="35" t="s">
        <v>320</v>
      </c>
      <c r="E65" s="35">
        <f>+I71</f>
        <v>15</v>
      </c>
      <c r="F65" s="35" t="s">
        <v>355</v>
      </c>
      <c r="H65" s="35" t="s">
        <v>38</v>
      </c>
      <c r="I65" s="35">
        <v>220</v>
      </c>
      <c r="J65" s="35">
        <v>210</v>
      </c>
      <c r="K65" s="35">
        <f>+J65-I65</f>
        <v>-10</v>
      </c>
      <c r="L65" s="51" t="s">
        <v>346</v>
      </c>
      <c r="M65" s="35">
        <v>100</v>
      </c>
      <c r="O65" s="35">
        <v>90</v>
      </c>
      <c r="P65" s="35">
        <f>+O65-M65</f>
        <v>-10</v>
      </c>
    </row>
    <row r="66" spans="1:16">
      <c r="B66" s="446"/>
      <c r="C66" s="35" t="s">
        <v>116</v>
      </c>
      <c r="E66" s="35">
        <f>-I73</f>
        <v>-8</v>
      </c>
      <c r="F66" s="35" t="s">
        <v>354</v>
      </c>
      <c r="H66" s="35" t="s">
        <v>39</v>
      </c>
      <c r="I66" s="35">
        <v>135</v>
      </c>
      <c r="J66" s="35">
        <v>120</v>
      </c>
      <c r="K66" s="35">
        <f t="shared" ref="K66" si="2">+J66-I66</f>
        <v>-15</v>
      </c>
      <c r="L66" s="52"/>
    </row>
    <row r="67" spans="1:16">
      <c r="B67" s="446"/>
      <c r="C67" s="35" t="s">
        <v>84</v>
      </c>
      <c r="E67" s="35">
        <f>+I74</f>
        <v>12</v>
      </c>
      <c r="F67" s="35" t="s">
        <v>354</v>
      </c>
    </row>
    <row r="68" spans="1:16">
      <c r="B68" s="446"/>
      <c r="C68" s="35" t="s">
        <v>349</v>
      </c>
      <c r="E68" s="35">
        <f>-K65</f>
        <v>10</v>
      </c>
    </row>
    <row r="69" spans="1:16">
      <c r="B69" s="447"/>
      <c r="C69" s="35" t="s">
        <v>350</v>
      </c>
      <c r="E69" s="35">
        <f>-K66</f>
        <v>15</v>
      </c>
    </row>
    <row r="70" spans="1:16">
      <c r="C70" s="35" t="s">
        <v>351</v>
      </c>
      <c r="E70" s="50">
        <f>+P65</f>
        <v>-10</v>
      </c>
      <c r="F70" s="53"/>
      <c r="H70" s="35" t="s">
        <v>348</v>
      </c>
    </row>
    <row r="71" spans="1:16">
      <c r="C71" s="35" t="s">
        <v>340</v>
      </c>
      <c r="E71" s="35">
        <f>+SUM(E64:E70)</f>
        <v>74</v>
      </c>
      <c r="H71" s="35" t="s">
        <v>320</v>
      </c>
      <c r="I71" s="35">
        <v>15</v>
      </c>
    </row>
    <row r="72" spans="1:16">
      <c r="C72" s="35" t="s">
        <v>341</v>
      </c>
      <c r="E72" s="35">
        <f>+I73</f>
        <v>8</v>
      </c>
      <c r="H72" s="35" t="s">
        <v>23</v>
      </c>
      <c r="I72" s="35">
        <v>44</v>
      </c>
    </row>
    <row r="73" spans="1:16">
      <c r="C73" s="35" t="s">
        <v>342</v>
      </c>
      <c r="E73" s="35">
        <f>-I74</f>
        <v>-12</v>
      </c>
      <c r="H73" s="35" t="s">
        <v>352</v>
      </c>
      <c r="I73" s="35">
        <v>8</v>
      </c>
    </row>
    <row r="74" spans="1:16">
      <c r="C74" s="35" t="s">
        <v>325</v>
      </c>
      <c r="E74" s="35">
        <f>-I76</f>
        <v>-12</v>
      </c>
      <c r="H74" s="35" t="s">
        <v>353</v>
      </c>
      <c r="I74" s="35">
        <v>12</v>
      </c>
    </row>
    <row r="75" spans="1:16" ht="16.8" thickBot="1">
      <c r="C75" s="35" t="s">
        <v>326</v>
      </c>
      <c r="E75" s="54">
        <f>+SUM(E71:E74)</f>
        <v>58</v>
      </c>
      <c r="F75" s="53"/>
      <c r="H75" s="35" t="s">
        <v>314</v>
      </c>
      <c r="I75" s="35">
        <v>40</v>
      </c>
    </row>
    <row r="76" spans="1:16" ht="16.8" thickTop="1">
      <c r="H76" s="35" t="s">
        <v>86</v>
      </c>
      <c r="I76" s="35">
        <v>12</v>
      </c>
    </row>
    <row r="78" spans="1:16">
      <c r="A78" s="35" t="s">
        <v>357</v>
      </c>
      <c r="B78" s="35" t="s">
        <v>358</v>
      </c>
    </row>
    <row r="79" spans="1:16">
      <c r="B79" s="35" t="s">
        <v>359</v>
      </c>
    </row>
    <row r="81" spans="1:7">
      <c r="C81" s="55" t="s">
        <v>361</v>
      </c>
      <c r="D81" s="55" t="s">
        <v>360</v>
      </c>
    </row>
    <row r="82" spans="1:7">
      <c r="C82" s="56">
        <v>40</v>
      </c>
      <c r="D82" s="57">
        <v>150</v>
      </c>
    </row>
    <row r="83" spans="1:7">
      <c r="C83" s="52" t="s">
        <v>363</v>
      </c>
      <c r="D83" s="57"/>
    </row>
    <row r="84" spans="1:7">
      <c r="C84" s="52"/>
      <c r="D84" s="55" t="s">
        <v>362</v>
      </c>
    </row>
    <row r="85" spans="1:7">
      <c r="C85" s="58">
        <f>+SUM(D82:D85)-C82</f>
        <v>170</v>
      </c>
      <c r="D85" s="56">
        <v>60</v>
      </c>
      <c r="E85" s="35" t="s">
        <v>364</v>
      </c>
    </row>
    <row r="87" spans="1:7">
      <c r="A87" s="35" t="s">
        <v>365</v>
      </c>
    </row>
    <row r="88" spans="1:7">
      <c r="B88" s="35" t="s">
        <v>366</v>
      </c>
      <c r="C88" s="35" t="s">
        <v>367</v>
      </c>
    </row>
    <row r="89" spans="1:7">
      <c r="C89" s="35" t="s">
        <v>368</v>
      </c>
    </row>
    <row r="91" spans="1:7">
      <c r="B91" s="35" t="s">
        <v>120</v>
      </c>
      <c r="C91" s="35" t="s">
        <v>29</v>
      </c>
      <c r="F91" s="35" t="s">
        <v>373</v>
      </c>
    </row>
    <row r="92" spans="1:7">
      <c r="C92" s="55" t="s">
        <v>369</v>
      </c>
      <c r="D92" s="55" t="s">
        <v>372</v>
      </c>
      <c r="F92" s="55" t="s">
        <v>375</v>
      </c>
      <c r="G92" s="55" t="s">
        <v>369</v>
      </c>
    </row>
    <row r="93" spans="1:7">
      <c r="C93" s="56">
        <v>1000</v>
      </c>
      <c r="D93" s="57">
        <f>+SUM(C93:C96)-D96</f>
        <v>150</v>
      </c>
      <c r="F93" s="57">
        <f>+SUM(G93:G96)-F96</f>
        <v>70</v>
      </c>
      <c r="G93" s="56">
        <v>200</v>
      </c>
    </row>
    <row r="94" spans="1:7">
      <c r="C94" s="52" t="s">
        <v>371</v>
      </c>
      <c r="D94" s="57"/>
      <c r="F94" s="57"/>
      <c r="G94" s="57" t="s">
        <v>374</v>
      </c>
    </row>
    <row r="95" spans="1:7">
      <c r="C95" s="52"/>
      <c r="D95" s="55" t="s">
        <v>370</v>
      </c>
      <c r="F95" s="55" t="s">
        <v>370</v>
      </c>
      <c r="G95" s="57"/>
    </row>
    <row r="96" spans="1:7">
      <c r="C96" s="58">
        <v>0</v>
      </c>
      <c r="D96" s="56">
        <v>850</v>
      </c>
      <c r="F96" s="56">
        <v>220</v>
      </c>
      <c r="G96" s="56">
        <v>90</v>
      </c>
    </row>
    <row r="98" spans="2:7">
      <c r="D98" s="50" t="s">
        <v>376</v>
      </c>
      <c r="E98" s="50"/>
      <c r="F98" s="50"/>
      <c r="G98" s="50"/>
    </row>
    <row r="99" spans="2:7">
      <c r="D99" s="35" t="s">
        <v>378</v>
      </c>
      <c r="E99" s="35">
        <f>+F93</f>
        <v>70</v>
      </c>
      <c r="F99" s="51" t="s">
        <v>29</v>
      </c>
      <c r="G99" s="35">
        <f>+D93</f>
        <v>150</v>
      </c>
    </row>
    <row r="100" spans="2:7">
      <c r="D100" s="25" t="s">
        <v>379</v>
      </c>
      <c r="E100" s="26">
        <f>+SUM(G99:G100)-E99</f>
        <v>95</v>
      </c>
      <c r="F100" s="52" t="s">
        <v>377</v>
      </c>
      <c r="G100" s="35">
        <v>15</v>
      </c>
    </row>
    <row r="101" spans="2:7">
      <c r="F101" s="52"/>
    </row>
    <row r="102" spans="2:7">
      <c r="B102" s="35" t="s">
        <v>283</v>
      </c>
      <c r="C102" s="35" t="s">
        <v>29</v>
      </c>
      <c r="F102" s="35" t="s">
        <v>373</v>
      </c>
    </row>
    <row r="103" spans="2:7">
      <c r="C103" s="55" t="s">
        <v>369</v>
      </c>
      <c r="D103" s="55" t="s">
        <v>372</v>
      </c>
      <c r="F103" s="55" t="s">
        <v>375</v>
      </c>
      <c r="G103" s="55" t="s">
        <v>369</v>
      </c>
    </row>
    <row r="104" spans="2:7">
      <c r="C104" s="56">
        <v>1200</v>
      </c>
      <c r="D104" s="57">
        <f>+SUM(C104:C107)-D107</f>
        <v>280</v>
      </c>
      <c r="F104" s="57">
        <f>+SUM(G104:G107)-F107</f>
        <v>130</v>
      </c>
      <c r="G104" s="56">
        <v>400</v>
      </c>
    </row>
    <row r="105" spans="2:7">
      <c r="C105" s="52" t="s">
        <v>371</v>
      </c>
      <c r="D105" s="57"/>
      <c r="F105" s="57"/>
      <c r="G105" s="57" t="s">
        <v>374</v>
      </c>
    </row>
    <row r="106" spans="2:7">
      <c r="C106" s="52"/>
      <c r="D106" s="55" t="s">
        <v>370</v>
      </c>
      <c r="F106" s="55" t="s">
        <v>370</v>
      </c>
      <c r="G106" s="57"/>
    </row>
    <row r="107" spans="2:7">
      <c r="C107" s="58">
        <v>0</v>
      </c>
      <c r="D107" s="56">
        <v>920</v>
      </c>
      <c r="F107" s="56">
        <v>450</v>
      </c>
      <c r="G107" s="56">
        <v>180</v>
      </c>
    </row>
    <row r="109" spans="2:7">
      <c r="D109" s="50" t="s">
        <v>376</v>
      </c>
      <c r="E109" s="50"/>
      <c r="F109" s="50"/>
      <c r="G109" s="50"/>
    </row>
    <row r="110" spans="2:7">
      <c r="D110" s="35" t="s">
        <v>378</v>
      </c>
      <c r="E110" s="35">
        <f>+F104</f>
        <v>130</v>
      </c>
      <c r="F110" s="51" t="s">
        <v>29</v>
      </c>
      <c r="G110" s="35">
        <f>+D104</f>
        <v>280</v>
      </c>
    </row>
    <row r="111" spans="2:7">
      <c r="D111" s="35" t="s">
        <v>380</v>
      </c>
      <c r="E111" s="35">
        <v>48</v>
      </c>
      <c r="F111" s="52"/>
    </row>
    <row r="112" spans="2:7">
      <c r="D112" s="25" t="s">
        <v>379</v>
      </c>
      <c r="E112" s="26">
        <f>+SUM(G110:G112)-E110-E111</f>
        <v>102</v>
      </c>
      <c r="F112" s="52"/>
    </row>
    <row r="115" spans="1:7">
      <c r="A115" s="35" t="s">
        <v>381</v>
      </c>
    </row>
    <row r="116" spans="1:7">
      <c r="B116" s="35" t="s">
        <v>382</v>
      </c>
      <c r="C116" s="35" t="s">
        <v>383</v>
      </c>
    </row>
    <row r="117" spans="1:7">
      <c r="C117" s="35" t="s">
        <v>384</v>
      </c>
    </row>
    <row r="119" spans="1:7">
      <c r="E119" s="35" t="s">
        <v>113</v>
      </c>
      <c r="F119" s="35" t="s">
        <v>112</v>
      </c>
      <c r="G119" s="35" t="s">
        <v>387</v>
      </c>
    </row>
    <row r="120" spans="1:7">
      <c r="C120" s="35" t="s">
        <v>386</v>
      </c>
      <c r="E120" s="35">
        <v>150</v>
      </c>
      <c r="F120" s="35">
        <v>140</v>
      </c>
      <c r="G120" s="35">
        <f>+F120-E120</f>
        <v>-10</v>
      </c>
    </row>
    <row r="121" spans="1:7">
      <c r="C121" s="35" t="s">
        <v>385</v>
      </c>
      <c r="E121" s="35">
        <v>280</v>
      </c>
      <c r="F121" s="35">
        <v>330</v>
      </c>
      <c r="G121" s="35">
        <f>+F121-E121</f>
        <v>50</v>
      </c>
    </row>
    <row r="122" spans="1:7">
      <c r="C122" s="35" t="s">
        <v>388</v>
      </c>
      <c r="G122" s="35">
        <v>-20</v>
      </c>
    </row>
    <row r="123" spans="1:7" ht="16.8" thickBot="1">
      <c r="C123" s="35" t="s">
        <v>389</v>
      </c>
      <c r="G123" s="54">
        <f>+SUM(G120:G122)</f>
        <v>20</v>
      </c>
    </row>
    <row r="124" spans="1:7" ht="16.8" thickTop="1"/>
    <row r="125" spans="1:7">
      <c r="A125" s="35" t="s">
        <v>390</v>
      </c>
    </row>
    <row r="126" spans="1:7">
      <c r="A126" s="35" t="s">
        <v>174</v>
      </c>
      <c r="B126" s="35" t="s">
        <v>391</v>
      </c>
    </row>
    <row r="127" spans="1:7">
      <c r="B127" s="35" t="s">
        <v>535</v>
      </c>
    </row>
    <row r="130" spans="1:15">
      <c r="A130" s="59"/>
      <c r="B130" s="59"/>
      <c r="C130" s="448" t="s">
        <v>392</v>
      </c>
      <c r="D130" s="448"/>
      <c r="E130" s="448"/>
      <c r="F130" s="448"/>
      <c r="G130" s="448"/>
      <c r="H130" s="448"/>
      <c r="I130" s="448"/>
      <c r="J130" s="448"/>
      <c r="K130" s="448"/>
      <c r="L130" s="60"/>
      <c r="M130" s="449" t="s">
        <v>393</v>
      </c>
      <c r="N130" s="449"/>
      <c r="O130" s="449"/>
    </row>
    <row r="131" spans="1:15">
      <c r="A131" s="59"/>
      <c r="B131" s="59"/>
      <c r="C131" s="61"/>
      <c r="D131" s="62"/>
      <c r="E131" s="62"/>
      <c r="F131" s="62"/>
      <c r="G131" s="63"/>
      <c r="H131" s="63"/>
      <c r="I131" s="63"/>
      <c r="J131" s="63"/>
      <c r="K131" s="63"/>
      <c r="L131" s="60"/>
      <c r="M131" s="450" t="s">
        <v>394</v>
      </c>
      <c r="N131" s="450"/>
      <c r="O131" s="450"/>
    </row>
    <row r="132" spans="1:15" ht="16.8" thickBot="1">
      <c r="A132" s="59"/>
      <c r="B132" s="59"/>
      <c r="C132" s="64" t="s">
        <v>395</v>
      </c>
      <c r="D132" s="63"/>
      <c r="E132" s="65"/>
      <c r="F132" s="66"/>
      <c r="G132" s="67"/>
      <c r="H132" s="67"/>
      <c r="I132" s="63"/>
      <c r="J132" s="65"/>
      <c r="K132" s="68" t="s">
        <v>396</v>
      </c>
      <c r="L132" s="60"/>
      <c r="M132" s="62"/>
      <c r="N132" s="62"/>
      <c r="O132" s="62" t="s">
        <v>397</v>
      </c>
    </row>
    <row r="133" spans="1:15" ht="16.8" thickBot="1">
      <c r="A133" s="59" t="s">
        <v>398</v>
      </c>
      <c r="B133" s="59"/>
      <c r="C133" s="69" t="s">
        <v>399</v>
      </c>
      <c r="D133" s="70" t="s">
        <v>400</v>
      </c>
      <c r="E133" s="71" t="s">
        <v>401</v>
      </c>
      <c r="F133" s="71" t="s">
        <v>402</v>
      </c>
      <c r="G133" s="443" t="s">
        <v>399</v>
      </c>
      <c r="H133" s="444"/>
      <c r="I133" s="72" t="str">
        <f>+D133</f>
        <v>前期</v>
      </c>
      <c r="J133" s="73" t="str">
        <f>+E133</f>
        <v>当期</v>
      </c>
      <c r="K133" s="74" t="s">
        <v>402</v>
      </c>
      <c r="L133" s="60"/>
      <c r="M133" s="75" t="s">
        <v>403</v>
      </c>
      <c r="N133" s="229"/>
      <c r="O133" s="76" t="s">
        <v>404</v>
      </c>
    </row>
    <row r="134" spans="1:15">
      <c r="A134" s="59"/>
      <c r="B134" s="59"/>
      <c r="C134" s="77" t="s">
        <v>405</v>
      </c>
      <c r="D134" s="78">
        <v>91</v>
      </c>
      <c r="E134" s="79">
        <v>98</v>
      </c>
      <c r="F134" s="80">
        <f t="shared" ref="F134:F153" si="3">E134-D134</f>
        <v>7</v>
      </c>
      <c r="G134" s="451" t="s">
        <v>406</v>
      </c>
      <c r="H134" s="452"/>
      <c r="I134" s="81"/>
      <c r="J134" s="82"/>
      <c r="K134" s="80">
        <f t="shared" ref="K134:K153" si="4">J134-I134</f>
        <v>0</v>
      </c>
      <c r="L134" s="60"/>
      <c r="M134" s="83" t="s">
        <v>407</v>
      </c>
      <c r="N134" s="230"/>
      <c r="O134" s="84"/>
    </row>
    <row r="135" spans="1:15">
      <c r="A135" s="85" t="s">
        <v>408</v>
      </c>
      <c r="B135" s="85"/>
      <c r="C135" s="86" t="s">
        <v>409</v>
      </c>
      <c r="D135" s="87"/>
      <c r="E135" s="88"/>
      <c r="F135" s="89">
        <f t="shared" si="3"/>
        <v>0</v>
      </c>
      <c r="G135" s="439" t="s">
        <v>410</v>
      </c>
      <c r="H135" s="440"/>
      <c r="I135" s="90">
        <v>328</v>
      </c>
      <c r="J135" s="91">
        <v>333</v>
      </c>
      <c r="K135" s="92">
        <f t="shared" si="4"/>
        <v>5</v>
      </c>
      <c r="L135" s="60"/>
      <c r="M135" s="93" t="s">
        <v>411</v>
      </c>
      <c r="N135" s="231"/>
      <c r="O135" s="94">
        <f>+E167</f>
        <v>50</v>
      </c>
    </row>
    <row r="136" spans="1:15">
      <c r="A136" s="95">
        <f>IFERROR(D157/D136,"")</f>
        <v>7.5</v>
      </c>
      <c r="B136" s="95">
        <f>IFERROR(E157/E136,"")</f>
        <v>7.969924812030075</v>
      </c>
      <c r="C136" s="86" t="s">
        <v>412</v>
      </c>
      <c r="D136" s="87">
        <v>400</v>
      </c>
      <c r="E136" s="88">
        <v>399</v>
      </c>
      <c r="F136" s="89">
        <f t="shared" si="3"/>
        <v>-1</v>
      </c>
      <c r="G136" s="439" t="s">
        <v>413</v>
      </c>
      <c r="H136" s="440"/>
      <c r="I136" s="90">
        <v>480</v>
      </c>
      <c r="J136" s="96">
        <v>492</v>
      </c>
      <c r="K136" s="92">
        <f t="shared" si="4"/>
        <v>12</v>
      </c>
      <c r="L136" s="60"/>
      <c r="M136" s="97" t="s">
        <v>414</v>
      </c>
      <c r="N136" s="232"/>
      <c r="O136" s="98"/>
    </row>
    <row r="137" spans="1:15">
      <c r="A137" s="99" t="s">
        <v>415</v>
      </c>
      <c r="B137" s="100"/>
      <c r="C137" s="86" t="s">
        <v>416</v>
      </c>
      <c r="D137" s="87">
        <v>20</v>
      </c>
      <c r="E137" s="88">
        <v>20</v>
      </c>
      <c r="F137" s="89">
        <f t="shared" si="3"/>
        <v>0</v>
      </c>
      <c r="G137" s="439" t="s">
        <v>417</v>
      </c>
      <c r="H137" s="440"/>
      <c r="I137" s="90"/>
      <c r="J137" s="96"/>
      <c r="K137" s="92">
        <f t="shared" si="4"/>
        <v>0</v>
      </c>
      <c r="L137" s="60"/>
      <c r="M137" s="97" t="s">
        <v>418</v>
      </c>
      <c r="N137" s="232"/>
      <c r="O137" s="98">
        <f>+E173</f>
        <v>31</v>
      </c>
    </row>
    <row r="138" spans="1:15">
      <c r="A138" s="101">
        <f>IFERROR(D157/D138,"")</f>
        <v>8.3333333333333339</v>
      </c>
      <c r="B138" s="102">
        <f>IFERROR(E157/E138,"")</f>
        <v>6.883116883116883</v>
      </c>
      <c r="C138" s="86" t="s">
        <v>419</v>
      </c>
      <c r="D138" s="87">
        <v>360</v>
      </c>
      <c r="E138" s="88">
        <v>462</v>
      </c>
      <c r="F138" s="89">
        <f t="shared" si="3"/>
        <v>102</v>
      </c>
      <c r="G138" s="439" t="s">
        <v>420</v>
      </c>
      <c r="H138" s="440"/>
      <c r="I138" s="90"/>
      <c r="J138" s="96"/>
      <c r="K138" s="92">
        <f t="shared" si="4"/>
        <v>0</v>
      </c>
      <c r="L138" s="60"/>
      <c r="M138" s="103" t="s">
        <v>421</v>
      </c>
      <c r="N138" s="233"/>
      <c r="O138" s="104">
        <f>+K138+K143-F141-F150</f>
        <v>0</v>
      </c>
    </row>
    <row r="139" spans="1:15" ht="16.8" thickBot="1">
      <c r="A139" s="59"/>
      <c r="B139" s="59"/>
      <c r="C139" s="86" t="s">
        <v>422</v>
      </c>
      <c r="D139" s="87"/>
      <c r="E139" s="88"/>
      <c r="F139" s="89">
        <f t="shared" si="3"/>
        <v>0</v>
      </c>
      <c r="G139" s="441" t="s">
        <v>423</v>
      </c>
      <c r="H139" s="442"/>
      <c r="I139" s="105">
        <v>60</v>
      </c>
      <c r="J139" s="106">
        <v>60</v>
      </c>
      <c r="K139" s="107">
        <f t="shared" si="4"/>
        <v>0</v>
      </c>
      <c r="L139" s="60"/>
      <c r="M139" s="103" t="s">
        <v>424</v>
      </c>
      <c r="N139" s="233"/>
      <c r="O139" s="104">
        <f>+E166-E165</f>
        <v>5</v>
      </c>
    </row>
    <row r="140" spans="1:15" ht="16.8" thickBot="1">
      <c r="A140" s="108"/>
      <c r="B140" s="59"/>
      <c r="C140" s="86" t="s">
        <v>425</v>
      </c>
      <c r="D140" s="87">
        <v>30</v>
      </c>
      <c r="E140" s="88">
        <v>30</v>
      </c>
      <c r="F140" s="89">
        <f t="shared" si="3"/>
        <v>0</v>
      </c>
      <c r="G140" s="443" t="s">
        <v>426</v>
      </c>
      <c r="H140" s="444"/>
      <c r="I140" s="109">
        <f>SUM(I134:I139)</f>
        <v>868</v>
      </c>
      <c r="J140" s="110">
        <f>SUM(J134:J139)</f>
        <v>885</v>
      </c>
      <c r="K140" s="111">
        <f t="shared" si="4"/>
        <v>17</v>
      </c>
      <c r="L140" s="60"/>
      <c r="M140" s="103" t="s">
        <v>427</v>
      </c>
      <c r="N140" s="233"/>
      <c r="O140" s="104">
        <f>-E162</f>
        <v>0</v>
      </c>
    </row>
    <row r="141" spans="1:15" ht="16.8" thickBot="1">
      <c r="A141" s="112" t="s">
        <v>428</v>
      </c>
      <c r="B141" s="113"/>
      <c r="C141" s="114" t="s">
        <v>429</v>
      </c>
      <c r="D141" s="115"/>
      <c r="E141" s="116"/>
      <c r="F141" s="117">
        <f t="shared" si="3"/>
        <v>0</v>
      </c>
      <c r="G141" s="451" t="s">
        <v>430</v>
      </c>
      <c r="H141" s="452"/>
      <c r="I141" s="81">
        <v>820</v>
      </c>
      <c r="J141" s="82">
        <v>840</v>
      </c>
      <c r="K141" s="118">
        <f t="shared" si="4"/>
        <v>20</v>
      </c>
      <c r="L141" s="60"/>
      <c r="M141" s="119" t="s">
        <v>431</v>
      </c>
      <c r="N141" s="234"/>
      <c r="O141" s="120">
        <f>+E163</f>
        <v>65</v>
      </c>
    </row>
    <row r="142" spans="1:15" ht="16.8" thickBot="1">
      <c r="A142" s="121">
        <f>+D142/I140</f>
        <v>1.0380184331797235</v>
      </c>
      <c r="B142" s="121">
        <f>+E142/J140</f>
        <v>1.1401129943502826</v>
      </c>
      <c r="C142" s="69" t="s">
        <v>432</v>
      </c>
      <c r="D142" s="122">
        <f>SUM(D134:D141)</f>
        <v>901</v>
      </c>
      <c r="E142" s="122">
        <f>SUM(E134:E141)</f>
        <v>1009</v>
      </c>
      <c r="F142" s="123">
        <f t="shared" si="3"/>
        <v>108</v>
      </c>
      <c r="G142" s="439" t="s">
        <v>433</v>
      </c>
      <c r="H142" s="440"/>
      <c r="I142" s="90"/>
      <c r="J142" s="96"/>
      <c r="K142" s="92">
        <f t="shared" si="4"/>
        <v>0</v>
      </c>
      <c r="L142" s="60"/>
      <c r="M142" s="97" t="s">
        <v>434</v>
      </c>
      <c r="N142" s="232"/>
      <c r="O142" s="94"/>
    </row>
    <row r="143" spans="1:15">
      <c r="A143" s="99" t="s">
        <v>435</v>
      </c>
      <c r="B143" s="100"/>
      <c r="C143" s="77" t="s">
        <v>436</v>
      </c>
      <c r="D143" s="124">
        <v>1000</v>
      </c>
      <c r="E143" s="79">
        <v>1000</v>
      </c>
      <c r="F143" s="80">
        <f t="shared" si="3"/>
        <v>0</v>
      </c>
      <c r="G143" s="439" t="s">
        <v>420</v>
      </c>
      <c r="H143" s="440"/>
      <c r="I143" s="90"/>
      <c r="J143" s="96"/>
      <c r="K143" s="92">
        <f t="shared" si="4"/>
        <v>0</v>
      </c>
      <c r="L143" s="60"/>
      <c r="M143" s="97" t="s">
        <v>437</v>
      </c>
      <c r="N143" s="97"/>
      <c r="O143" s="125">
        <f>-F135</f>
        <v>0</v>
      </c>
    </row>
    <row r="144" spans="1:15" ht="16.8" thickBot="1">
      <c r="A144" s="101">
        <f>IFERROR(D157/SUM(D143:D144),"")</f>
        <v>1.9367333763718528</v>
      </c>
      <c r="B144" s="101">
        <f>IFERROR(E157/SUM(E143:E144),"")</f>
        <v>2.1228304405874501</v>
      </c>
      <c r="C144" s="86" t="s">
        <v>438</v>
      </c>
      <c r="D144" s="126">
        <v>549</v>
      </c>
      <c r="E144" s="88">
        <v>498</v>
      </c>
      <c r="F144" s="89">
        <f t="shared" si="3"/>
        <v>-51</v>
      </c>
      <c r="G144" s="441" t="s">
        <v>439</v>
      </c>
      <c r="H144" s="442"/>
      <c r="I144" s="105">
        <v>100</v>
      </c>
      <c r="J144" s="106">
        <v>100</v>
      </c>
      <c r="K144" s="107">
        <f t="shared" si="4"/>
        <v>0</v>
      </c>
      <c r="L144" s="60"/>
      <c r="M144" s="103" t="s">
        <v>440</v>
      </c>
      <c r="N144" s="234"/>
      <c r="O144" s="127">
        <f>-F136</f>
        <v>1</v>
      </c>
    </row>
    <row r="145" spans="1:15" ht="16.8" thickBot="1">
      <c r="A145" s="59"/>
      <c r="B145" s="59"/>
      <c r="C145" s="86" t="s">
        <v>441</v>
      </c>
      <c r="D145" s="126"/>
      <c r="E145" s="88"/>
      <c r="F145" s="89">
        <f t="shared" si="3"/>
        <v>0</v>
      </c>
      <c r="G145" s="443" t="s">
        <v>442</v>
      </c>
      <c r="H145" s="444"/>
      <c r="I145" s="109">
        <f>SUM(I141:I144)</f>
        <v>920</v>
      </c>
      <c r="J145" s="110">
        <f>SUM(J141:J144)</f>
        <v>940</v>
      </c>
      <c r="K145" s="111">
        <f t="shared" si="4"/>
        <v>20</v>
      </c>
      <c r="L145" s="60"/>
      <c r="M145" s="103" t="s">
        <v>443</v>
      </c>
      <c r="N145" s="233"/>
      <c r="O145" s="104">
        <f>-F138</f>
        <v>-102</v>
      </c>
    </row>
    <row r="146" spans="1:15" ht="16.8" thickBot="1">
      <c r="A146" s="59"/>
      <c r="B146" s="59"/>
      <c r="C146" s="86" t="s">
        <v>444</v>
      </c>
      <c r="D146" s="126"/>
      <c r="E146" s="88"/>
      <c r="F146" s="89">
        <f t="shared" si="3"/>
        <v>0</v>
      </c>
      <c r="G146" s="443" t="s">
        <v>445</v>
      </c>
      <c r="H146" s="444"/>
      <c r="I146" s="109">
        <f>I140+I145</f>
        <v>1788</v>
      </c>
      <c r="J146" s="110">
        <f>J140+J145</f>
        <v>1825</v>
      </c>
      <c r="K146" s="111">
        <f t="shared" si="4"/>
        <v>37</v>
      </c>
      <c r="L146" s="60"/>
      <c r="M146" s="103" t="s">
        <v>446</v>
      </c>
      <c r="N146" s="233"/>
      <c r="O146" s="104">
        <f>-F140</f>
        <v>0</v>
      </c>
    </row>
    <row r="147" spans="1:15">
      <c r="A147" s="59"/>
      <c r="B147" s="59"/>
      <c r="C147" s="86" t="s">
        <v>447</v>
      </c>
      <c r="D147" s="126">
        <v>50</v>
      </c>
      <c r="E147" s="88">
        <v>48</v>
      </c>
      <c r="F147" s="89">
        <f t="shared" si="3"/>
        <v>-2</v>
      </c>
      <c r="G147" s="451" t="s">
        <v>448</v>
      </c>
      <c r="H147" s="452"/>
      <c r="I147" s="81">
        <v>50</v>
      </c>
      <c r="J147" s="82">
        <v>50</v>
      </c>
      <c r="K147" s="118">
        <f t="shared" si="4"/>
        <v>0</v>
      </c>
      <c r="L147" s="60"/>
      <c r="M147" s="103" t="s">
        <v>449</v>
      </c>
      <c r="N147" s="233"/>
      <c r="O147" s="104">
        <f>+K134</f>
        <v>0</v>
      </c>
    </row>
    <row r="148" spans="1:15">
      <c r="A148" s="59"/>
      <c r="B148" s="59"/>
      <c r="C148" s="86" t="s">
        <v>450</v>
      </c>
      <c r="D148" s="126"/>
      <c r="E148" s="88"/>
      <c r="F148" s="89">
        <f t="shared" si="3"/>
        <v>0</v>
      </c>
      <c r="G148" s="439" t="s">
        <v>451</v>
      </c>
      <c r="H148" s="440"/>
      <c r="I148" s="90">
        <v>662</v>
      </c>
      <c r="J148" s="96">
        <v>680</v>
      </c>
      <c r="K148" s="92">
        <f t="shared" si="4"/>
        <v>18</v>
      </c>
      <c r="L148" s="60"/>
      <c r="M148" s="103" t="s">
        <v>452</v>
      </c>
      <c r="N148" s="233"/>
      <c r="O148" s="104">
        <f>+K135</f>
        <v>5</v>
      </c>
    </row>
    <row r="149" spans="1:15">
      <c r="A149" s="59"/>
      <c r="B149" s="59"/>
      <c r="C149" s="86" t="s">
        <v>453</v>
      </c>
      <c r="D149" s="126"/>
      <c r="E149" s="88"/>
      <c r="F149" s="89">
        <f t="shared" si="3"/>
        <v>0</v>
      </c>
      <c r="G149" s="439" t="s">
        <v>454</v>
      </c>
      <c r="H149" s="440"/>
      <c r="I149" s="90"/>
      <c r="J149" s="96"/>
      <c r="K149" s="92">
        <f t="shared" si="4"/>
        <v>0</v>
      </c>
      <c r="L149" s="60"/>
      <c r="M149" s="103" t="s">
        <v>455</v>
      </c>
      <c r="N149" s="233"/>
      <c r="O149" s="104">
        <f>+K137</f>
        <v>0</v>
      </c>
    </row>
    <row r="150" spans="1:15" ht="16.8" thickBot="1">
      <c r="A150" s="59"/>
      <c r="B150" s="59"/>
      <c r="C150" s="114" t="s">
        <v>456</v>
      </c>
      <c r="D150" s="128"/>
      <c r="E150" s="116"/>
      <c r="F150" s="117">
        <f t="shared" si="3"/>
        <v>0</v>
      </c>
      <c r="G150" s="439" t="s">
        <v>457</v>
      </c>
      <c r="H150" s="440"/>
      <c r="I150" s="90"/>
      <c r="J150" s="96"/>
      <c r="K150" s="92">
        <f t="shared" si="4"/>
        <v>0</v>
      </c>
      <c r="L150" s="60"/>
      <c r="M150" s="103" t="s">
        <v>458</v>
      </c>
      <c r="N150" s="233"/>
      <c r="O150" s="104">
        <f>+K139</f>
        <v>0</v>
      </c>
    </row>
    <row r="151" spans="1:15" ht="16.8" thickBot="1">
      <c r="A151" s="59"/>
      <c r="B151" s="59"/>
      <c r="C151" s="69" t="s">
        <v>459</v>
      </c>
      <c r="D151" s="129">
        <f>SUM(D143:D150)</f>
        <v>1599</v>
      </c>
      <c r="E151" s="122">
        <f>SUM(E143:E150)</f>
        <v>1546</v>
      </c>
      <c r="F151" s="123">
        <f t="shared" si="3"/>
        <v>-53</v>
      </c>
      <c r="G151" s="441" t="s">
        <v>460</v>
      </c>
      <c r="H151" s="442"/>
      <c r="I151" s="105"/>
      <c r="J151" s="106"/>
      <c r="K151" s="107">
        <f t="shared" si="4"/>
        <v>0</v>
      </c>
      <c r="L151" s="60"/>
      <c r="M151" s="103" t="s">
        <v>461</v>
      </c>
      <c r="N151" s="233"/>
      <c r="O151" s="104">
        <f>+K144</f>
        <v>0</v>
      </c>
    </row>
    <row r="152" spans="1:15" ht="16.8" thickBot="1">
      <c r="A152" s="85" t="s">
        <v>462</v>
      </c>
      <c r="B152" s="85"/>
      <c r="C152" s="130" t="s">
        <v>463</v>
      </c>
      <c r="D152" s="131"/>
      <c r="E152" s="132"/>
      <c r="F152" s="133">
        <f t="shared" si="3"/>
        <v>0</v>
      </c>
      <c r="G152" s="443" t="s">
        <v>464</v>
      </c>
      <c r="H152" s="444"/>
      <c r="I152" s="109">
        <f>SUM(I147:I151)</f>
        <v>712</v>
      </c>
      <c r="J152" s="110">
        <f>SUM(J147:J151)</f>
        <v>730</v>
      </c>
      <c r="K152" s="111">
        <f t="shared" si="4"/>
        <v>18</v>
      </c>
      <c r="L152" s="60"/>
      <c r="M152" s="134"/>
      <c r="N152" s="235"/>
      <c r="O152" s="120"/>
    </row>
    <row r="153" spans="1:15" ht="16.8" thickBot="1">
      <c r="A153" s="95">
        <f>IFERROR(D157/D153,"")</f>
        <v>1.2</v>
      </c>
      <c r="B153" s="95">
        <f>IFERROR(E157/E153,"")</f>
        <v>1.2446183953033267</v>
      </c>
      <c r="C153" s="69" t="s">
        <v>465</v>
      </c>
      <c r="D153" s="122">
        <f>D142+D151+D152</f>
        <v>2500</v>
      </c>
      <c r="E153" s="122">
        <f>E142+E151+E152</f>
        <v>2555</v>
      </c>
      <c r="F153" s="123">
        <f t="shared" si="3"/>
        <v>55</v>
      </c>
      <c r="G153" s="443" t="s">
        <v>466</v>
      </c>
      <c r="H153" s="444"/>
      <c r="I153" s="109">
        <f>I146+I152</f>
        <v>2500</v>
      </c>
      <c r="J153" s="110">
        <f>J146+J152</f>
        <v>2555</v>
      </c>
      <c r="K153" s="111">
        <f t="shared" si="4"/>
        <v>55</v>
      </c>
      <c r="L153" s="60"/>
      <c r="M153" s="135" t="s">
        <v>467</v>
      </c>
      <c r="N153" s="236"/>
      <c r="O153" s="136">
        <f>SUM(O135:O152)</f>
        <v>55</v>
      </c>
    </row>
    <row r="154" spans="1:15">
      <c r="A154" s="59"/>
      <c r="B154" s="59"/>
      <c r="C154" s="137" t="s">
        <v>468</v>
      </c>
      <c r="D154" s="138"/>
      <c r="E154" s="63"/>
      <c r="F154" s="63"/>
      <c r="G154" s="63"/>
      <c r="H154" s="139" t="s">
        <v>469</v>
      </c>
      <c r="I154" s="140">
        <f>+I152/I153</f>
        <v>0.2848</v>
      </c>
      <c r="J154" s="140">
        <f>+J152/J153</f>
        <v>0.2857142857142857</v>
      </c>
      <c r="K154" s="63" t="s">
        <v>470</v>
      </c>
      <c r="L154" s="60"/>
      <c r="M154" s="141" t="s">
        <v>471</v>
      </c>
      <c r="N154" s="237"/>
      <c r="O154" s="142">
        <f>-E174</f>
        <v>-65</v>
      </c>
    </row>
    <row r="155" spans="1:15" ht="16.8" thickBot="1">
      <c r="A155" s="59"/>
      <c r="B155" s="59"/>
      <c r="C155" s="143" t="s">
        <v>472</v>
      </c>
      <c r="D155" s="68"/>
      <c r="E155" s="144"/>
      <c r="F155" s="68" t="s">
        <v>396</v>
      </c>
      <c r="G155" s="453" t="s">
        <v>473</v>
      </c>
      <c r="H155" s="145"/>
      <c r="I155" s="63"/>
      <c r="J155" s="63"/>
      <c r="K155" s="66"/>
      <c r="L155" s="60"/>
      <c r="M155" s="141" t="s">
        <v>474</v>
      </c>
      <c r="N155" s="237"/>
      <c r="O155" s="142">
        <f>-E168</f>
        <v>-20</v>
      </c>
    </row>
    <row r="156" spans="1:15" ht="16.8" thickBot="1">
      <c r="A156" s="59"/>
      <c r="B156" s="59"/>
      <c r="C156" s="69" t="s">
        <v>399</v>
      </c>
      <c r="D156" s="70" t="str">
        <f>+D133</f>
        <v>前期</v>
      </c>
      <c r="E156" s="71" t="str">
        <f>+E133</f>
        <v>当期</v>
      </c>
      <c r="F156" s="74" t="s">
        <v>402</v>
      </c>
      <c r="G156" s="453"/>
      <c r="H156" s="63"/>
      <c r="I156" s="63"/>
      <c r="J156" s="63"/>
      <c r="K156" s="63"/>
      <c r="L156" s="60"/>
      <c r="M156" s="146"/>
      <c r="N156" s="238"/>
      <c r="O156" s="147">
        <f>+SUM(O153:O155)</f>
        <v>-30</v>
      </c>
    </row>
    <row r="157" spans="1:15">
      <c r="A157" s="59"/>
      <c r="B157" s="59"/>
      <c r="C157" s="148" t="s">
        <v>475</v>
      </c>
      <c r="D157" s="124">
        <v>3000</v>
      </c>
      <c r="E157" s="149">
        <v>3180</v>
      </c>
      <c r="F157" s="150">
        <f t="shared" ref="F157:F169" si="5">E157-D157</f>
        <v>180</v>
      </c>
      <c r="G157" s="151">
        <f>+E157/D157</f>
        <v>1.06</v>
      </c>
      <c r="H157" s="63"/>
      <c r="I157" s="63"/>
      <c r="J157" s="63"/>
      <c r="K157" s="63"/>
      <c r="L157" s="60"/>
      <c r="M157" s="152" t="s">
        <v>476</v>
      </c>
      <c r="N157" s="239"/>
      <c r="O157" s="153"/>
    </row>
    <row r="158" spans="1:15" ht="16.8" thickBot="1">
      <c r="A158" s="59"/>
      <c r="B158" s="59"/>
      <c r="C158" s="154" t="s">
        <v>477</v>
      </c>
      <c r="D158" s="128">
        <v>2200</v>
      </c>
      <c r="E158" s="155">
        <v>2320</v>
      </c>
      <c r="F158" s="156">
        <f t="shared" si="5"/>
        <v>120</v>
      </c>
      <c r="G158" s="157"/>
      <c r="H158" s="63"/>
      <c r="I158" s="63"/>
      <c r="J158" s="63"/>
      <c r="K158" s="63"/>
      <c r="L158" s="60"/>
      <c r="M158" s="97" t="s">
        <v>478</v>
      </c>
      <c r="N158" s="232"/>
      <c r="O158" s="98">
        <f>-F137</f>
        <v>0</v>
      </c>
    </row>
    <row r="159" spans="1:15" ht="16.8" thickBot="1">
      <c r="A159" s="59"/>
      <c r="B159" s="59"/>
      <c r="C159" s="69" t="s">
        <v>479</v>
      </c>
      <c r="D159" s="122">
        <f>D157-D158</f>
        <v>800</v>
      </c>
      <c r="E159" s="158">
        <f>E157-E158</f>
        <v>860</v>
      </c>
      <c r="F159" s="159">
        <f t="shared" si="5"/>
        <v>60</v>
      </c>
      <c r="G159" s="160">
        <f>+E159/D159</f>
        <v>1.075</v>
      </c>
      <c r="H159" s="63"/>
      <c r="I159" s="63"/>
      <c r="J159" s="63"/>
      <c r="K159" s="63"/>
      <c r="L159" s="60"/>
      <c r="M159" s="103" t="s">
        <v>480</v>
      </c>
      <c r="N159" s="233"/>
      <c r="O159" s="104">
        <f>-F139</f>
        <v>0</v>
      </c>
    </row>
    <row r="160" spans="1:15" ht="16.8" thickBot="1">
      <c r="A160" s="59"/>
      <c r="B160" s="108"/>
      <c r="C160" s="161" t="s">
        <v>481</v>
      </c>
      <c r="D160" s="132">
        <v>720</v>
      </c>
      <c r="E160" s="162">
        <v>740</v>
      </c>
      <c r="F160" s="163">
        <f t="shared" si="5"/>
        <v>20</v>
      </c>
      <c r="G160" s="157"/>
      <c r="H160" s="63"/>
      <c r="I160" s="63"/>
      <c r="J160" s="63"/>
      <c r="K160" s="63"/>
      <c r="L160" s="60"/>
      <c r="M160" s="119" t="s">
        <v>482</v>
      </c>
      <c r="N160" s="234"/>
      <c r="O160" s="127">
        <f>-F143</f>
        <v>0</v>
      </c>
    </row>
    <row r="161" spans="1:16" ht="16.8" thickBot="1">
      <c r="A161" s="59"/>
      <c r="B161" s="59"/>
      <c r="C161" s="69" t="s">
        <v>483</v>
      </c>
      <c r="D161" s="122">
        <f>D159-D160</f>
        <v>80</v>
      </c>
      <c r="E161" s="158">
        <f>E159-E160</f>
        <v>120</v>
      </c>
      <c r="F161" s="159">
        <f t="shared" si="5"/>
        <v>40</v>
      </c>
      <c r="G161" s="160">
        <f>+E161/D161</f>
        <v>1.5</v>
      </c>
      <c r="H161" s="164">
        <f>+E161/E157</f>
        <v>3.7735849056603772E-2</v>
      </c>
      <c r="I161" s="63"/>
      <c r="J161" s="63"/>
      <c r="K161" s="63"/>
      <c r="L161" s="60"/>
      <c r="M161" s="103" t="s">
        <v>484</v>
      </c>
      <c r="N161" s="233"/>
      <c r="O161" s="104">
        <f>-F144-E173-F166</f>
        <v>15</v>
      </c>
    </row>
    <row r="162" spans="1:16">
      <c r="A162" s="59"/>
      <c r="B162" s="59"/>
      <c r="C162" s="165" t="s">
        <v>485</v>
      </c>
      <c r="D162" s="124"/>
      <c r="E162" s="166"/>
      <c r="F162" s="150">
        <f t="shared" si="5"/>
        <v>0</v>
      </c>
      <c r="G162" s="157"/>
      <c r="H162" s="63"/>
      <c r="I162" s="63"/>
      <c r="J162" s="63"/>
      <c r="K162" s="63"/>
      <c r="L162" s="60"/>
      <c r="M162" s="103" t="s">
        <v>486</v>
      </c>
      <c r="N162" s="233"/>
      <c r="O162" s="104">
        <f>-F145</f>
        <v>0</v>
      </c>
    </row>
    <row r="163" spans="1:16" ht="16.8" thickBot="1">
      <c r="A163" s="59"/>
      <c r="B163" s="59"/>
      <c r="C163" s="167" t="s">
        <v>487</v>
      </c>
      <c r="D163" s="128">
        <v>60</v>
      </c>
      <c r="E163" s="155">
        <v>65</v>
      </c>
      <c r="F163" s="156">
        <f t="shared" si="5"/>
        <v>5</v>
      </c>
      <c r="G163" s="157"/>
      <c r="H163" s="63"/>
      <c r="I163" s="63"/>
      <c r="J163" s="63"/>
      <c r="K163" s="63"/>
      <c r="L163" s="60"/>
      <c r="M163" s="103" t="s">
        <v>488</v>
      </c>
      <c r="N163" s="233"/>
      <c r="O163" s="104">
        <f>-F146</f>
        <v>0</v>
      </c>
    </row>
    <row r="164" spans="1:16" ht="16.8" thickBot="1">
      <c r="A164" s="59"/>
      <c r="B164" s="59"/>
      <c r="C164" s="69" t="s">
        <v>489</v>
      </c>
      <c r="D164" s="122">
        <f>D161+D162-D163</f>
        <v>20</v>
      </c>
      <c r="E164" s="158">
        <f>E161+E162-E163</f>
        <v>55</v>
      </c>
      <c r="F164" s="159">
        <f t="shared" si="5"/>
        <v>35</v>
      </c>
      <c r="G164" s="160">
        <f>+E164/D164</f>
        <v>2.75</v>
      </c>
      <c r="H164" s="168"/>
      <c r="I164" s="63"/>
      <c r="J164" s="63"/>
      <c r="K164" s="63"/>
      <c r="L164" s="60"/>
      <c r="M164" s="103" t="s">
        <v>490</v>
      </c>
      <c r="N164" s="233"/>
      <c r="O164" s="104">
        <f>-F147</f>
        <v>2</v>
      </c>
    </row>
    <row r="165" spans="1:16">
      <c r="A165" s="59"/>
      <c r="B165" s="59"/>
      <c r="C165" s="169" t="s">
        <v>491</v>
      </c>
      <c r="D165" s="124"/>
      <c r="E165" s="166"/>
      <c r="F165" s="150">
        <f t="shared" si="5"/>
        <v>0</v>
      </c>
      <c r="G165" s="170" t="s">
        <v>492</v>
      </c>
      <c r="H165" s="170"/>
      <c r="I165" s="63"/>
      <c r="J165" s="63"/>
      <c r="K165" s="63"/>
      <c r="L165" s="60"/>
      <c r="M165" s="103" t="s">
        <v>493</v>
      </c>
      <c r="N165" s="233"/>
      <c r="O165" s="104">
        <f>-F148</f>
        <v>0</v>
      </c>
    </row>
    <row r="166" spans="1:16" ht="16.8" thickBot="1">
      <c r="A166" s="59"/>
      <c r="B166" s="59"/>
      <c r="C166" s="171" t="s">
        <v>494</v>
      </c>
      <c r="D166" s="128"/>
      <c r="E166" s="155">
        <v>5</v>
      </c>
      <c r="F166" s="156">
        <f t="shared" si="5"/>
        <v>5</v>
      </c>
      <c r="G166" s="170" t="s">
        <v>492</v>
      </c>
      <c r="H166" s="170"/>
      <c r="I166" s="63"/>
      <c r="J166" s="63"/>
      <c r="K166" s="63"/>
      <c r="L166" s="60"/>
      <c r="M166" s="103" t="s">
        <v>495</v>
      </c>
      <c r="N166" s="233"/>
      <c r="O166" s="172">
        <f>-F149</f>
        <v>0</v>
      </c>
    </row>
    <row r="167" spans="1:16" ht="16.8" thickBot="1">
      <c r="A167" s="59"/>
      <c r="B167" s="59"/>
      <c r="C167" s="69" t="s">
        <v>496</v>
      </c>
      <c r="D167" s="122">
        <f>D164+D165-D166</f>
        <v>20</v>
      </c>
      <c r="E167" s="158">
        <f>E164+E165-E166</f>
        <v>50</v>
      </c>
      <c r="F167" s="159">
        <f t="shared" si="5"/>
        <v>30</v>
      </c>
      <c r="G167" s="170" t="s">
        <v>497</v>
      </c>
      <c r="H167" s="170"/>
      <c r="I167" s="63"/>
      <c r="J167" s="63"/>
      <c r="K167" s="63"/>
      <c r="L167" s="60"/>
      <c r="M167" s="134" t="s">
        <v>498</v>
      </c>
      <c r="N167" s="235"/>
      <c r="O167" s="120">
        <f>-F152</f>
        <v>0</v>
      </c>
    </row>
    <row r="168" spans="1:16" ht="16.8" thickBot="1">
      <c r="A168" s="59"/>
      <c r="B168" s="59"/>
      <c r="C168" s="173" t="s">
        <v>499</v>
      </c>
      <c r="D168" s="132">
        <v>8</v>
      </c>
      <c r="E168" s="162">
        <v>20</v>
      </c>
      <c r="F168" s="163">
        <f t="shared" si="5"/>
        <v>12</v>
      </c>
      <c r="G168" s="170" t="s">
        <v>492</v>
      </c>
      <c r="H168" s="170"/>
      <c r="I168" s="63"/>
      <c r="J168" s="63"/>
      <c r="K168" s="63"/>
      <c r="L168" s="60"/>
      <c r="M168" s="174" t="s">
        <v>500</v>
      </c>
      <c r="N168" s="240"/>
      <c r="O168" s="175">
        <f>SUM(O158:O167)</f>
        <v>17</v>
      </c>
    </row>
    <row r="169" spans="1:16" ht="16.8" thickBot="1">
      <c r="A169" s="59"/>
      <c r="B169" s="59"/>
      <c r="C169" s="69" t="s">
        <v>501</v>
      </c>
      <c r="D169" s="122">
        <f>D167-D168</f>
        <v>12</v>
      </c>
      <c r="E169" s="176">
        <f>+E167-E168</f>
        <v>30</v>
      </c>
      <c r="F169" s="159">
        <f t="shared" si="5"/>
        <v>18</v>
      </c>
      <c r="G169" s="170" t="s">
        <v>492</v>
      </c>
      <c r="H169" s="170"/>
      <c r="I169" s="63"/>
      <c r="J169" s="63"/>
      <c r="K169" s="63"/>
      <c r="L169" s="60"/>
      <c r="M169" s="177" t="s">
        <v>502</v>
      </c>
      <c r="N169" s="241"/>
      <c r="O169" s="178"/>
    </row>
    <row r="170" spans="1:16">
      <c r="A170" s="59"/>
      <c r="B170" s="59"/>
      <c r="C170" s="179"/>
      <c r="D170" s="180"/>
      <c r="E170" s="180"/>
      <c r="F170" s="181"/>
      <c r="G170" s="170"/>
      <c r="H170" s="170"/>
      <c r="I170" s="63"/>
      <c r="J170" s="63"/>
      <c r="K170" s="63"/>
      <c r="L170" s="60"/>
      <c r="M170" s="97" t="s">
        <v>503</v>
      </c>
      <c r="N170" s="232"/>
      <c r="O170" s="98">
        <f>+K136</f>
        <v>12</v>
      </c>
    </row>
    <row r="171" spans="1:16" ht="16.8" thickBot="1">
      <c r="A171" s="59"/>
      <c r="B171" s="59"/>
      <c r="C171" s="182" t="s">
        <v>504</v>
      </c>
      <c r="D171" s="183"/>
      <c r="E171" s="183"/>
      <c r="F171" s="68" t="s">
        <v>396</v>
      </c>
      <c r="G171" s="170"/>
      <c r="H171" s="170"/>
      <c r="I171" s="63"/>
      <c r="J171" s="63"/>
      <c r="K171" s="63"/>
      <c r="L171" s="60"/>
      <c r="M171" s="103" t="s">
        <v>505</v>
      </c>
      <c r="N171" s="233"/>
      <c r="O171" s="104">
        <f>+K141</f>
        <v>20</v>
      </c>
    </row>
    <row r="172" spans="1:16" ht="16.8" thickBot="1">
      <c r="A172" s="59"/>
      <c r="B172" s="59"/>
      <c r="C172" s="69" t="s">
        <v>399</v>
      </c>
      <c r="D172" s="70" t="s">
        <v>400</v>
      </c>
      <c r="E172" s="71" t="s">
        <v>401</v>
      </c>
      <c r="F172" s="74" t="s">
        <v>402</v>
      </c>
      <c r="G172" s="170"/>
      <c r="H172" s="170"/>
      <c r="I172" s="63"/>
      <c r="J172" s="63"/>
      <c r="K172" s="63"/>
      <c r="L172" s="60"/>
      <c r="M172" s="103" t="s">
        <v>506</v>
      </c>
      <c r="N172" s="233"/>
      <c r="O172" s="104">
        <f>+K142</f>
        <v>0</v>
      </c>
    </row>
    <row r="173" spans="1:16">
      <c r="A173" s="59"/>
      <c r="B173" s="59"/>
      <c r="C173" s="184" t="s">
        <v>507</v>
      </c>
      <c r="D173" s="185">
        <v>40</v>
      </c>
      <c r="E173" s="186">
        <v>31</v>
      </c>
      <c r="F173" s="187">
        <f>+E173-D173</f>
        <v>-9</v>
      </c>
      <c r="G173" s="188"/>
      <c r="H173" s="188"/>
      <c r="I173" s="188"/>
      <c r="J173" s="188"/>
      <c r="K173" s="63"/>
      <c r="L173" s="60"/>
      <c r="M173" s="103" t="s">
        <v>508</v>
      </c>
      <c r="N173" s="233"/>
      <c r="O173" s="104">
        <f>+K147+K148</f>
        <v>18</v>
      </c>
    </row>
    <row r="174" spans="1:16" ht="16.8" thickBot="1">
      <c r="A174" s="59"/>
      <c r="B174" s="59"/>
      <c r="C174" s="189" t="s">
        <v>509</v>
      </c>
      <c r="D174" s="190">
        <f>+D163</f>
        <v>60</v>
      </c>
      <c r="E174" s="191">
        <f>+E163</f>
        <v>65</v>
      </c>
      <c r="F174" s="192">
        <f>+E174-D174</f>
        <v>5</v>
      </c>
      <c r="G174" s="188"/>
      <c r="H174" s="188"/>
      <c r="I174" s="188"/>
      <c r="J174" s="188"/>
      <c r="K174" s="63"/>
      <c r="L174" s="60"/>
      <c r="M174" s="103" t="s">
        <v>510</v>
      </c>
      <c r="N174" s="233"/>
      <c r="O174" s="104">
        <f>+K150</f>
        <v>0</v>
      </c>
    </row>
    <row r="175" spans="1:16">
      <c r="A175" s="59"/>
      <c r="B175" s="59"/>
      <c r="C175" s="59"/>
      <c r="D175" s="63"/>
      <c r="E175" s="63"/>
      <c r="F175" s="63"/>
      <c r="G175" s="63"/>
      <c r="H175" s="63"/>
      <c r="I175" s="63"/>
      <c r="J175" s="63"/>
      <c r="K175" s="63"/>
      <c r="L175" s="60"/>
      <c r="M175" s="134" t="s">
        <v>511</v>
      </c>
      <c r="N175" s="235"/>
      <c r="O175" s="120">
        <f>+G184</f>
        <v>0</v>
      </c>
    </row>
    <row r="176" spans="1:16" ht="16.8" thickBot="1">
      <c r="A176" s="59"/>
      <c r="B176" s="59"/>
      <c r="C176" s="59" t="s">
        <v>512</v>
      </c>
      <c r="D176" s="63"/>
      <c r="E176" s="63"/>
      <c r="F176" s="63"/>
      <c r="G176" s="63"/>
      <c r="H176" s="63"/>
      <c r="I176" s="63"/>
      <c r="J176" s="66"/>
      <c r="K176" s="66" t="s">
        <v>396</v>
      </c>
      <c r="L176" s="60"/>
      <c r="M176" s="193" t="s">
        <v>513</v>
      </c>
      <c r="N176" s="242"/>
      <c r="O176" s="194">
        <f>SUM(O170:O175)</f>
        <v>50</v>
      </c>
      <c r="P176" s="35" t="s">
        <v>536</v>
      </c>
    </row>
    <row r="177" spans="1:15">
      <c r="A177" s="59"/>
      <c r="B177" s="59"/>
      <c r="C177" s="454" t="s">
        <v>399</v>
      </c>
      <c r="D177" s="457" t="s">
        <v>514</v>
      </c>
      <c r="E177" s="457"/>
      <c r="F177" s="457"/>
      <c r="G177" s="457"/>
      <c r="H177" s="457"/>
      <c r="I177" s="458"/>
      <c r="J177" s="459" t="s">
        <v>460</v>
      </c>
      <c r="K177" s="462" t="s">
        <v>464</v>
      </c>
      <c r="L177" s="60"/>
      <c r="M177" s="195" t="s">
        <v>515</v>
      </c>
      <c r="N177" s="243"/>
      <c r="O177" s="196">
        <f>+SUM(O156,O168,O176)</f>
        <v>37</v>
      </c>
    </row>
    <row r="178" spans="1:15">
      <c r="A178" s="59"/>
      <c r="B178" s="59"/>
      <c r="C178" s="455"/>
      <c r="D178" s="465" t="s">
        <v>448</v>
      </c>
      <c r="E178" s="465" t="s">
        <v>516</v>
      </c>
      <c r="F178" s="467" t="s">
        <v>517</v>
      </c>
      <c r="G178" s="468"/>
      <c r="H178" s="469" t="s">
        <v>457</v>
      </c>
      <c r="I178" s="460" t="s">
        <v>518</v>
      </c>
      <c r="J178" s="460"/>
      <c r="K178" s="463"/>
      <c r="L178" s="60"/>
      <c r="M178" s="197" t="s">
        <v>519</v>
      </c>
      <c r="N178" s="244"/>
      <c r="O178" s="198">
        <f>+D134</f>
        <v>91</v>
      </c>
    </row>
    <row r="179" spans="1:15" ht="16.8" thickBot="1">
      <c r="A179" s="59"/>
      <c r="B179" s="59"/>
      <c r="C179" s="456"/>
      <c r="D179" s="466"/>
      <c r="E179" s="466"/>
      <c r="F179" s="199" t="s">
        <v>520</v>
      </c>
      <c r="G179" s="48" t="s">
        <v>521</v>
      </c>
      <c r="H179" s="461"/>
      <c r="I179" s="461"/>
      <c r="J179" s="461"/>
      <c r="K179" s="464"/>
      <c r="L179" s="60"/>
      <c r="M179" s="200" t="s">
        <v>522</v>
      </c>
      <c r="N179" s="245"/>
      <c r="O179" s="201">
        <f>+O177+O178</f>
        <v>128</v>
      </c>
    </row>
    <row r="180" spans="1:15" ht="16.8" thickBot="1">
      <c r="A180" s="59"/>
      <c r="B180" s="59"/>
      <c r="C180" s="202" t="s">
        <v>523</v>
      </c>
      <c r="D180" s="203">
        <f>I147</f>
        <v>50</v>
      </c>
      <c r="E180" s="204">
        <f>I148</f>
        <v>662</v>
      </c>
      <c r="F180" s="205"/>
      <c r="G180" s="206"/>
      <c r="H180" s="207">
        <f>I150</f>
        <v>0</v>
      </c>
      <c r="I180" s="208">
        <f t="shared" ref="I180:I187" si="6">SUM(D180:H180)</f>
        <v>712</v>
      </c>
      <c r="J180" s="204">
        <f>I151</f>
        <v>0</v>
      </c>
      <c r="K180" s="187">
        <f>I180+J180</f>
        <v>712</v>
      </c>
      <c r="L180" s="60"/>
      <c r="M180" s="209" t="s">
        <v>524</v>
      </c>
      <c r="N180" s="246"/>
      <c r="O180" s="210">
        <f>+E134</f>
        <v>98</v>
      </c>
    </row>
    <row r="181" spans="1:15" ht="16.8" thickBot="1">
      <c r="A181" s="59"/>
      <c r="B181" s="59"/>
      <c r="C181" s="211" t="s">
        <v>525</v>
      </c>
      <c r="D181" s="212"/>
      <c r="E181" s="213"/>
      <c r="F181" s="212"/>
      <c r="G181" s="213"/>
      <c r="H181" s="213"/>
      <c r="I181" s="214">
        <f t="shared" si="6"/>
        <v>0</v>
      </c>
      <c r="J181" s="213"/>
      <c r="K181" s="215">
        <f t="shared" ref="K181:K188" si="7">I181+J181</f>
        <v>0</v>
      </c>
      <c r="L181" s="60"/>
      <c r="M181" s="63"/>
      <c r="N181" s="63"/>
      <c r="O181" s="216">
        <f>O179-O180</f>
        <v>30</v>
      </c>
    </row>
    <row r="182" spans="1:15" ht="16.8" thickTop="1">
      <c r="A182" s="59"/>
      <c r="B182" s="59"/>
      <c r="C182" s="217" t="s">
        <v>526</v>
      </c>
      <c r="D182" s="212"/>
      <c r="E182" s="213"/>
      <c r="F182" s="218"/>
      <c r="G182" s="213">
        <f>F182*-1</f>
        <v>0</v>
      </c>
      <c r="H182" s="213"/>
      <c r="I182" s="219">
        <f t="shared" si="6"/>
        <v>0</v>
      </c>
      <c r="J182" s="213"/>
      <c r="K182" s="215">
        <f t="shared" si="7"/>
        <v>0</v>
      </c>
      <c r="L182" s="60"/>
      <c r="M182" s="63"/>
      <c r="N182" s="63"/>
      <c r="O182" s="220"/>
    </row>
    <row r="183" spans="1:15">
      <c r="A183" s="59"/>
      <c r="B183" s="59"/>
      <c r="C183" s="211" t="s">
        <v>527</v>
      </c>
      <c r="D183" s="212"/>
      <c r="E183" s="213"/>
      <c r="F183" s="218"/>
      <c r="G183" s="213">
        <f>F183*-1</f>
        <v>0</v>
      </c>
      <c r="H183" s="213"/>
      <c r="I183" s="221">
        <f t="shared" si="6"/>
        <v>0</v>
      </c>
      <c r="J183" s="213"/>
      <c r="K183" s="215">
        <f t="shared" si="7"/>
        <v>0</v>
      </c>
      <c r="L183" s="60"/>
      <c r="M183" s="222" t="s">
        <v>528</v>
      </c>
      <c r="N183" s="222"/>
      <c r="O183" s="63"/>
    </row>
    <row r="184" spans="1:15">
      <c r="A184" s="59"/>
      <c r="B184" s="59"/>
      <c r="C184" s="211" t="s">
        <v>529</v>
      </c>
      <c r="D184" s="212"/>
      <c r="E184" s="213"/>
      <c r="F184" s="212"/>
      <c r="G184" s="91"/>
      <c r="H184" s="213"/>
      <c r="I184" s="221">
        <f t="shared" si="6"/>
        <v>0</v>
      </c>
      <c r="J184" s="213"/>
      <c r="K184" s="215">
        <f t="shared" si="7"/>
        <v>0</v>
      </c>
      <c r="L184" s="60"/>
      <c r="M184" s="60"/>
      <c r="N184" s="60"/>
      <c r="O184" s="60"/>
    </row>
    <row r="185" spans="1:15">
      <c r="A185" s="59"/>
      <c r="B185" s="59"/>
      <c r="C185" s="211" t="s">
        <v>530</v>
      </c>
      <c r="D185" s="212"/>
      <c r="E185" s="213"/>
      <c r="F185" s="212"/>
      <c r="G185" s="213">
        <f>E169</f>
        <v>30</v>
      </c>
      <c r="H185" s="213"/>
      <c r="I185" s="221">
        <f t="shared" si="6"/>
        <v>30</v>
      </c>
      <c r="J185" s="213"/>
      <c r="K185" s="215">
        <f t="shared" si="7"/>
        <v>30</v>
      </c>
      <c r="L185" s="60"/>
      <c r="M185" s="60"/>
      <c r="N185" s="60"/>
      <c r="O185" s="60"/>
    </row>
    <row r="186" spans="1:15">
      <c r="A186" s="59"/>
      <c r="B186" s="59"/>
      <c r="C186" s="217" t="s">
        <v>531</v>
      </c>
      <c r="D186" s="212"/>
      <c r="E186" s="213"/>
      <c r="F186" s="212"/>
      <c r="G186" s="213"/>
      <c r="H186" s="213">
        <f>H188</f>
        <v>0</v>
      </c>
      <c r="I186" s="221">
        <f>+H186</f>
        <v>0</v>
      </c>
      <c r="J186" s="213"/>
      <c r="K186" s="215">
        <f>+I186</f>
        <v>0</v>
      </c>
      <c r="L186" s="60"/>
      <c r="M186" s="60"/>
      <c r="N186" s="60"/>
      <c r="O186" s="60"/>
    </row>
    <row r="187" spans="1:15">
      <c r="A187" s="59"/>
      <c r="B187" s="59"/>
      <c r="C187" s="217" t="s">
        <v>532</v>
      </c>
      <c r="D187" s="212"/>
      <c r="E187" s="213"/>
      <c r="F187" s="218"/>
      <c r="G187" s="91"/>
      <c r="H187" s="213"/>
      <c r="I187" s="223">
        <f t="shared" si="6"/>
        <v>0</v>
      </c>
      <c r="J187" s="213">
        <f>J188</f>
        <v>0</v>
      </c>
      <c r="K187" s="215">
        <f t="shared" si="7"/>
        <v>0</v>
      </c>
      <c r="L187" s="60"/>
      <c r="M187" s="60"/>
      <c r="N187" s="60"/>
      <c r="O187" s="60"/>
    </row>
    <row r="188" spans="1:15">
      <c r="A188" s="59"/>
      <c r="B188" s="59"/>
      <c r="C188" s="211" t="s">
        <v>533</v>
      </c>
      <c r="D188" s="212">
        <f>K147</f>
        <v>0</v>
      </c>
      <c r="E188" s="213">
        <f>K148</f>
        <v>18</v>
      </c>
      <c r="F188" s="212">
        <f>SUM(F182:F187)</f>
        <v>0</v>
      </c>
      <c r="G188" s="213">
        <f>SUM(G182:G187)</f>
        <v>30</v>
      </c>
      <c r="H188" s="213">
        <f>K150</f>
        <v>0</v>
      </c>
      <c r="I188" s="224">
        <f>SUM(D188:H188)</f>
        <v>48</v>
      </c>
      <c r="J188" s="213">
        <f>K151</f>
        <v>0</v>
      </c>
      <c r="K188" s="215">
        <f t="shared" si="7"/>
        <v>48</v>
      </c>
      <c r="L188" s="60"/>
      <c r="M188" s="60"/>
      <c r="N188" s="60"/>
      <c r="O188" s="60"/>
    </row>
    <row r="189" spans="1:15" ht="16.8" thickBot="1">
      <c r="A189" s="59"/>
      <c r="B189" s="59"/>
      <c r="C189" s="225" t="s">
        <v>534</v>
      </c>
      <c r="D189" s="226">
        <f>D180+D188</f>
        <v>50</v>
      </c>
      <c r="E189" s="227">
        <f>E180+E188</f>
        <v>680</v>
      </c>
      <c r="F189" s="226">
        <f>F180+F188</f>
        <v>0</v>
      </c>
      <c r="G189" s="227">
        <f>G180+G188</f>
        <v>30</v>
      </c>
      <c r="H189" s="227">
        <f>+J150</f>
        <v>0</v>
      </c>
      <c r="I189" s="227">
        <f>I180+I188</f>
        <v>760</v>
      </c>
      <c r="J189" s="227">
        <f>+J151</f>
        <v>0</v>
      </c>
      <c r="K189" s="228">
        <f>K180+K188</f>
        <v>760</v>
      </c>
      <c r="L189" s="60"/>
      <c r="M189" s="60"/>
      <c r="N189" s="60"/>
      <c r="O189" s="60"/>
    </row>
    <row r="192" spans="1:15">
      <c r="A192" s="35" t="s">
        <v>187</v>
      </c>
      <c r="B192" s="35" t="s">
        <v>391</v>
      </c>
    </row>
    <row r="193" spans="1:15">
      <c r="B193" s="35" t="s">
        <v>537</v>
      </c>
    </row>
    <row r="196" spans="1:15">
      <c r="A196" s="59"/>
      <c r="B196" s="59"/>
      <c r="C196" s="448" t="s">
        <v>392</v>
      </c>
      <c r="D196" s="448"/>
      <c r="E196" s="448"/>
      <c r="F196" s="448"/>
      <c r="G196" s="448"/>
      <c r="H196" s="448"/>
      <c r="I196" s="448"/>
      <c r="J196" s="448"/>
      <c r="K196" s="448"/>
      <c r="L196" s="60"/>
      <c r="M196" s="449" t="s">
        <v>393</v>
      </c>
      <c r="N196" s="449"/>
      <c r="O196" s="449"/>
    </row>
    <row r="197" spans="1:15">
      <c r="A197" s="59"/>
      <c r="B197" s="59"/>
      <c r="C197" s="61"/>
      <c r="D197" s="62"/>
      <c r="E197" s="62"/>
      <c r="F197" s="62"/>
      <c r="G197" s="63"/>
      <c r="H197" s="63"/>
      <c r="I197" s="63"/>
      <c r="J197" s="63"/>
      <c r="K197" s="63"/>
      <c r="L197" s="60"/>
      <c r="M197" s="450" t="s">
        <v>394</v>
      </c>
      <c r="N197" s="450"/>
      <c r="O197" s="450"/>
    </row>
    <row r="198" spans="1:15" ht="16.8" thickBot="1">
      <c r="A198" s="59"/>
      <c r="B198" s="59"/>
      <c r="C198" s="64" t="s">
        <v>395</v>
      </c>
      <c r="D198" s="63"/>
      <c r="E198" s="65"/>
      <c r="F198" s="66"/>
      <c r="G198" s="67"/>
      <c r="H198" s="67"/>
      <c r="I198" s="63"/>
      <c r="J198" s="65"/>
      <c r="K198" s="68" t="s">
        <v>396</v>
      </c>
      <c r="L198" s="60"/>
      <c r="M198" s="62"/>
      <c r="N198" s="62"/>
      <c r="O198" s="62" t="s">
        <v>397</v>
      </c>
    </row>
    <row r="199" spans="1:15" ht="16.8" thickBot="1">
      <c r="A199" s="59" t="s">
        <v>398</v>
      </c>
      <c r="B199" s="59"/>
      <c r="C199" s="69" t="s">
        <v>399</v>
      </c>
      <c r="D199" s="70" t="s">
        <v>400</v>
      </c>
      <c r="E199" s="71" t="s">
        <v>401</v>
      </c>
      <c r="F199" s="71" t="s">
        <v>402</v>
      </c>
      <c r="G199" s="443" t="s">
        <v>399</v>
      </c>
      <c r="H199" s="444"/>
      <c r="I199" s="72" t="str">
        <f>+D199</f>
        <v>前期</v>
      </c>
      <c r="J199" s="73" t="str">
        <f>+E199</f>
        <v>当期</v>
      </c>
      <c r="K199" s="74" t="s">
        <v>402</v>
      </c>
      <c r="L199" s="60"/>
      <c r="M199" s="75" t="s">
        <v>403</v>
      </c>
      <c r="N199" s="229"/>
      <c r="O199" s="76" t="s">
        <v>404</v>
      </c>
    </row>
    <row r="200" spans="1:15">
      <c r="A200" s="59"/>
      <c r="B200" s="59"/>
      <c r="C200" s="77" t="s">
        <v>405</v>
      </c>
      <c r="D200" s="78">
        <v>81</v>
      </c>
      <c r="E200" s="79">
        <v>66</v>
      </c>
      <c r="F200" s="80">
        <f t="shared" ref="F200:F219" si="8">E200-D200</f>
        <v>-15</v>
      </c>
      <c r="G200" s="451" t="s">
        <v>406</v>
      </c>
      <c r="H200" s="452"/>
      <c r="I200" s="81"/>
      <c r="J200" s="82"/>
      <c r="K200" s="80">
        <f t="shared" ref="K200:K219" si="9">J200-I200</f>
        <v>0</v>
      </c>
      <c r="L200" s="60"/>
      <c r="M200" s="83" t="s">
        <v>407</v>
      </c>
      <c r="N200" s="230"/>
      <c r="O200" s="84"/>
    </row>
    <row r="201" spans="1:15">
      <c r="A201" s="85" t="s">
        <v>408</v>
      </c>
      <c r="B201" s="85"/>
      <c r="C201" s="86" t="s">
        <v>409</v>
      </c>
      <c r="D201" s="87"/>
      <c r="E201" s="88"/>
      <c r="F201" s="89">
        <f t="shared" si="8"/>
        <v>0</v>
      </c>
      <c r="G201" s="439" t="s">
        <v>410</v>
      </c>
      <c r="H201" s="440"/>
      <c r="I201" s="90">
        <v>60</v>
      </c>
      <c r="J201" s="91">
        <v>68</v>
      </c>
      <c r="K201" s="92">
        <f t="shared" si="9"/>
        <v>8</v>
      </c>
      <c r="L201" s="60"/>
      <c r="M201" s="93" t="s">
        <v>411</v>
      </c>
      <c r="N201" s="231"/>
      <c r="O201" s="94">
        <f>+E233</f>
        <v>5</v>
      </c>
    </row>
    <row r="202" spans="1:15">
      <c r="A202" s="95">
        <f>IFERROR(D223/D202,"")</f>
        <v>6.875</v>
      </c>
      <c r="B202" s="95">
        <f>IFERROR(E223/E202,"")</f>
        <v>6.8068181818181817</v>
      </c>
      <c r="C202" s="86" t="s">
        <v>412</v>
      </c>
      <c r="D202" s="87">
        <v>80</v>
      </c>
      <c r="E202" s="88">
        <v>88</v>
      </c>
      <c r="F202" s="89">
        <f t="shared" si="8"/>
        <v>8</v>
      </c>
      <c r="G202" s="439" t="s">
        <v>413</v>
      </c>
      <c r="H202" s="440"/>
      <c r="I202" s="90">
        <v>110</v>
      </c>
      <c r="J202" s="96">
        <v>124</v>
      </c>
      <c r="K202" s="92">
        <f t="shared" si="9"/>
        <v>14</v>
      </c>
      <c r="L202" s="60"/>
      <c r="M202" s="97" t="s">
        <v>414</v>
      </c>
      <c r="N202" s="232"/>
      <c r="O202" s="98"/>
    </row>
    <row r="203" spans="1:15">
      <c r="A203" s="99" t="s">
        <v>415</v>
      </c>
      <c r="B203" s="100"/>
      <c r="C203" s="86" t="s">
        <v>416</v>
      </c>
      <c r="D203" s="87">
        <v>25</v>
      </c>
      <c r="E203" s="88">
        <v>25</v>
      </c>
      <c r="F203" s="89">
        <f t="shared" si="8"/>
        <v>0</v>
      </c>
      <c r="G203" s="439" t="s">
        <v>417</v>
      </c>
      <c r="H203" s="440"/>
      <c r="I203" s="90"/>
      <c r="J203" s="96"/>
      <c r="K203" s="92">
        <f t="shared" si="9"/>
        <v>0</v>
      </c>
      <c r="L203" s="60"/>
      <c r="M203" s="97" t="s">
        <v>418</v>
      </c>
      <c r="N203" s="232"/>
      <c r="O203" s="98">
        <f>+E239</f>
        <v>15</v>
      </c>
    </row>
    <row r="204" spans="1:15">
      <c r="A204" s="101">
        <f>IFERROR(D223/D204,"")</f>
        <v>6.1111111111111107</v>
      </c>
      <c r="B204" s="102">
        <f>IFERROR(E223/E204,"")</f>
        <v>4.4701492537313436</v>
      </c>
      <c r="C204" s="86" t="s">
        <v>419</v>
      </c>
      <c r="D204" s="87">
        <v>90</v>
      </c>
      <c r="E204" s="88">
        <v>134</v>
      </c>
      <c r="F204" s="89">
        <f t="shared" si="8"/>
        <v>44</v>
      </c>
      <c r="G204" s="439" t="s">
        <v>420</v>
      </c>
      <c r="H204" s="440"/>
      <c r="I204" s="90"/>
      <c r="J204" s="96"/>
      <c r="K204" s="92">
        <f t="shared" si="9"/>
        <v>0</v>
      </c>
      <c r="L204" s="60"/>
      <c r="M204" s="103" t="s">
        <v>421</v>
      </c>
      <c r="N204" s="233"/>
      <c r="O204" s="104">
        <f>+K204+K209-F207-F216</f>
        <v>0</v>
      </c>
    </row>
    <row r="205" spans="1:15" ht="16.8" thickBot="1">
      <c r="A205" s="59"/>
      <c r="B205" s="59"/>
      <c r="C205" s="86" t="s">
        <v>422</v>
      </c>
      <c r="D205" s="87"/>
      <c r="E205" s="88"/>
      <c r="F205" s="89">
        <f t="shared" si="8"/>
        <v>0</v>
      </c>
      <c r="G205" s="441" t="s">
        <v>423</v>
      </c>
      <c r="H205" s="442"/>
      <c r="I205" s="105">
        <v>15</v>
      </c>
      <c r="J205" s="106">
        <v>15</v>
      </c>
      <c r="K205" s="107">
        <f t="shared" si="9"/>
        <v>0</v>
      </c>
      <c r="L205" s="60"/>
      <c r="M205" s="103" t="s">
        <v>424</v>
      </c>
      <c r="N205" s="233"/>
      <c r="O205" s="104">
        <f>+E232-E231</f>
        <v>4</v>
      </c>
    </row>
    <row r="206" spans="1:15" ht="16.8" thickBot="1">
      <c r="A206" s="108"/>
      <c r="B206" s="59"/>
      <c r="C206" s="86" t="s">
        <v>425</v>
      </c>
      <c r="D206" s="87">
        <v>10</v>
      </c>
      <c r="E206" s="88">
        <v>10</v>
      </c>
      <c r="F206" s="89">
        <f t="shared" si="8"/>
        <v>0</v>
      </c>
      <c r="G206" s="443" t="s">
        <v>426</v>
      </c>
      <c r="H206" s="444"/>
      <c r="I206" s="109">
        <f>SUM(I200:I205)</f>
        <v>185</v>
      </c>
      <c r="J206" s="110">
        <f>SUM(J200:J205)</f>
        <v>207</v>
      </c>
      <c r="K206" s="111">
        <f t="shared" si="9"/>
        <v>22</v>
      </c>
      <c r="L206" s="60"/>
      <c r="M206" s="103" t="s">
        <v>427</v>
      </c>
      <c r="N206" s="233"/>
      <c r="O206" s="104">
        <f>-E228</f>
        <v>0</v>
      </c>
    </row>
    <row r="207" spans="1:15" ht="16.8" thickBot="1">
      <c r="A207" s="112" t="s">
        <v>428</v>
      </c>
      <c r="B207" s="113"/>
      <c r="C207" s="114" t="s">
        <v>429</v>
      </c>
      <c r="D207" s="115"/>
      <c r="E207" s="116"/>
      <c r="F207" s="117">
        <f t="shared" si="8"/>
        <v>0</v>
      </c>
      <c r="G207" s="451" t="s">
        <v>430</v>
      </c>
      <c r="H207" s="452"/>
      <c r="I207" s="81">
        <v>230</v>
      </c>
      <c r="J207" s="82">
        <v>230</v>
      </c>
      <c r="K207" s="118">
        <f t="shared" si="9"/>
        <v>0</v>
      </c>
      <c r="L207" s="60"/>
      <c r="M207" s="119" t="s">
        <v>431</v>
      </c>
      <c r="N207" s="234"/>
      <c r="O207" s="120">
        <f>+E229</f>
        <v>13</v>
      </c>
    </row>
    <row r="208" spans="1:15" ht="16.8" thickBot="1">
      <c r="A208" s="121">
        <f>+D208/I206</f>
        <v>1.5459459459459459</v>
      </c>
      <c r="B208" s="121">
        <f>+E208/J206</f>
        <v>1.5603864734299517</v>
      </c>
      <c r="C208" s="69" t="s">
        <v>432</v>
      </c>
      <c r="D208" s="122">
        <f>SUM(D200:D207)</f>
        <v>286</v>
      </c>
      <c r="E208" s="122">
        <f>SUM(E200:E207)</f>
        <v>323</v>
      </c>
      <c r="F208" s="123">
        <f t="shared" si="8"/>
        <v>37</v>
      </c>
      <c r="G208" s="439" t="s">
        <v>433</v>
      </c>
      <c r="H208" s="440"/>
      <c r="I208" s="90"/>
      <c r="J208" s="96"/>
      <c r="K208" s="92">
        <f t="shared" si="9"/>
        <v>0</v>
      </c>
      <c r="L208" s="60"/>
      <c r="M208" s="97" t="s">
        <v>434</v>
      </c>
      <c r="N208" s="232"/>
      <c r="O208" s="94"/>
    </row>
    <row r="209" spans="1:15">
      <c r="A209" s="99" t="s">
        <v>435</v>
      </c>
      <c r="B209" s="100"/>
      <c r="C209" s="77" t="s">
        <v>436</v>
      </c>
      <c r="D209" s="124">
        <v>120</v>
      </c>
      <c r="E209" s="79">
        <v>120</v>
      </c>
      <c r="F209" s="80">
        <f t="shared" si="8"/>
        <v>0</v>
      </c>
      <c r="G209" s="439" t="s">
        <v>420</v>
      </c>
      <c r="H209" s="440"/>
      <c r="I209" s="90"/>
      <c r="J209" s="96"/>
      <c r="K209" s="92">
        <f t="shared" si="9"/>
        <v>0</v>
      </c>
      <c r="L209" s="60"/>
      <c r="M209" s="97" t="s">
        <v>437</v>
      </c>
      <c r="N209" s="97"/>
      <c r="O209" s="125">
        <f>-F201</f>
        <v>0</v>
      </c>
    </row>
    <row r="210" spans="1:15" ht="16.8" thickBot="1">
      <c r="A210" s="101">
        <f>IFERROR(D223/SUM(D209:D210),"")</f>
        <v>1.4102564102564104</v>
      </c>
      <c r="B210" s="101">
        <f>IFERROR(E223/SUM(E209:E210),"")</f>
        <v>1.6277173913043479</v>
      </c>
      <c r="C210" s="86" t="s">
        <v>438</v>
      </c>
      <c r="D210" s="126">
        <v>270</v>
      </c>
      <c r="E210" s="88">
        <v>248</v>
      </c>
      <c r="F210" s="89">
        <f t="shared" si="8"/>
        <v>-22</v>
      </c>
      <c r="G210" s="441" t="s">
        <v>439</v>
      </c>
      <c r="H210" s="442"/>
      <c r="I210" s="105">
        <v>5</v>
      </c>
      <c r="J210" s="106">
        <v>5</v>
      </c>
      <c r="K210" s="107">
        <f t="shared" si="9"/>
        <v>0</v>
      </c>
      <c r="L210" s="60"/>
      <c r="M210" s="103" t="s">
        <v>440</v>
      </c>
      <c r="N210" s="234"/>
      <c r="O210" s="127">
        <f>-F202</f>
        <v>-8</v>
      </c>
    </row>
    <row r="211" spans="1:15" ht="16.8" thickBot="1">
      <c r="A211" s="59"/>
      <c r="B211" s="59"/>
      <c r="C211" s="86" t="s">
        <v>441</v>
      </c>
      <c r="D211" s="126"/>
      <c r="E211" s="88"/>
      <c r="F211" s="89">
        <f t="shared" si="8"/>
        <v>0</v>
      </c>
      <c r="G211" s="443" t="s">
        <v>442</v>
      </c>
      <c r="H211" s="444"/>
      <c r="I211" s="109">
        <f>SUM(I207:I210)</f>
        <v>235</v>
      </c>
      <c r="J211" s="110">
        <f>SUM(J207:J210)</f>
        <v>235</v>
      </c>
      <c r="K211" s="111">
        <f t="shared" si="9"/>
        <v>0</v>
      </c>
      <c r="L211" s="60"/>
      <c r="M211" s="103" t="s">
        <v>443</v>
      </c>
      <c r="N211" s="233"/>
      <c r="O211" s="104">
        <f>-F204</f>
        <v>-44</v>
      </c>
    </row>
    <row r="212" spans="1:15" ht="16.8" thickBot="1">
      <c r="A212" s="59"/>
      <c r="B212" s="59"/>
      <c r="C212" s="86" t="s">
        <v>444</v>
      </c>
      <c r="D212" s="126"/>
      <c r="E212" s="88"/>
      <c r="F212" s="89">
        <f t="shared" si="8"/>
        <v>0</v>
      </c>
      <c r="G212" s="443" t="s">
        <v>445</v>
      </c>
      <c r="H212" s="444"/>
      <c r="I212" s="109">
        <f>I206+I211</f>
        <v>420</v>
      </c>
      <c r="J212" s="110">
        <f>J206+J211</f>
        <v>442</v>
      </c>
      <c r="K212" s="111">
        <f t="shared" si="9"/>
        <v>22</v>
      </c>
      <c r="L212" s="60"/>
      <c r="M212" s="103" t="s">
        <v>446</v>
      </c>
      <c r="N212" s="233"/>
      <c r="O212" s="104">
        <f>-F206</f>
        <v>0</v>
      </c>
    </row>
    <row r="213" spans="1:15">
      <c r="A213" s="59"/>
      <c r="B213" s="59"/>
      <c r="C213" s="86" t="s">
        <v>447</v>
      </c>
      <c r="D213" s="126">
        <v>15</v>
      </c>
      <c r="E213" s="88">
        <v>15</v>
      </c>
      <c r="F213" s="89">
        <f t="shared" si="8"/>
        <v>0</v>
      </c>
      <c r="G213" s="451" t="s">
        <v>448</v>
      </c>
      <c r="H213" s="452"/>
      <c r="I213" s="81">
        <v>200</v>
      </c>
      <c r="J213" s="82">
        <v>200</v>
      </c>
      <c r="K213" s="118">
        <f t="shared" si="9"/>
        <v>0</v>
      </c>
      <c r="L213" s="60"/>
      <c r="M213" s="103" t="s">
        <v>449</v>
      </c>
      <c r="N213" s="233"/>
      <c r="O213" s="104">
        <f>+K200</f>
        <v>0</v>
      </c>
    </row>
    <row r="214" spans="1:15">
      <c r="A214" s="59"/>
      <c r="B214" s="59"/>
      <c r="C214" s="86" t="s">
        <v>450</v>
      </c>
      <c r="D214" s="126"/>
      <c r="E214" s="88"/>
      <c r="F214" s="89">
        <f t="shared" si="8"/>
        <v>0</v>
      </c>
      <c r="G214" s="439" t="s">
        <v>451</v>
      </c>
      <c r="H214" s="440"/>
      <c r="I214" s="90">
        <v>40</v>
      </c>
      <c r="J214" s="96">
        <v>41</v>
      </c>
      <c r="K214" s="92">
        <f t="shared" si="9"/>
        <v>1</v>
      </c>
      <c r="L214" s="60"/>
      <c r="M214" s="103" t="s">
        <v>452</v>
      </c>
      <c r="N214" s="233"/>
      <c r="O214" s="104">
        <f>+K201</f>
        <v>8</v>
      </c>
    </row>
    <row r="215" spans="1:15">
      <c r="A215" s="59"/>
      <c r="B215" s="59"/>
      <c r="C215" s="86" t="s">
        <v>453</v>
      </c>
      <c r="D215" s="126">
        <v>10</v>
      </c>
      <c r="E215" s="88">
        <v>10</v>
      </c>
      <c r="F215" s="89">
        <f t="shared" si="8"/>
        <v>0</v>
      </c>
      <c r="G215" s="439" t="s">
        <v>454</v>
      </c>
      <c r="H215" s="440"/>
      <c r="I215" s="90">
        <v>21</v>
      </c>
      <c r="J215" s="96">
        <v>13</v>
      </c>
      <c r="K215" s="92">
        <f t="shared" si="9"/>
        <v>-8</v>
      </c>
      <c r="L215" s="60"/>
      <c r="M215" s="103" t="s">
        <v>455</v>
      </c>
      <c r="N215" s="233"/>
      <c r="O215" s="104">
        <f>+K203</f>
        <v>0</v>
      </c>
    </row>
    <row r="216" spans="1:15" ht="16.8" thickBot="1">
      <c r="A216" s="59"/>
      <c r="B216" s="59"/>
      <c r="C216" s="114" t="s">
        <v>456</v>
      </c>
      <c r="D216" s="128"/>
      <c r="E216" s="116"/>
      <c r="F216" s="117">
        <f t="shared" si="8"/>
        <v>0</v>
      </c>
      <c r="G216" s="439" t="s">
        <v>457</v>
      </c>
      <c r="H216" s="440"/>
      <c r="I216" s="90"/>
      <c r="J216" s="96"/>
      <c r="K216" s="92">
        <f t="shared" si="9"/>
        <v>0</v>
      </c>
      <c r="L216" s="60"/>
      <c r="M216" s="103" t="s">
        <v>458</v>
      </c>
      <c r="N216" s="233"/>
      <c r="O216" s="104">
        <f>+K205</f>
        <v>0</v>
      </c>
    </row>
    <row r="217" spans="1:15" ht="16.8" thickBot="1">
      <c r="A217" s="59"/>
      <c r="B217" s="59"/>
      <c r="C217" s="69" t="s">
        <v>459</v>
      </c>
      <c r="D217" s="129">
        <f>SUM(D209:D216)</f>
        <v>415</v>
      </c>
      <c r="E217" s="122">
        <f>SUM(E209:E216)</f>
        <v>393</v>
      </c>
      <c r="F217" s="123">
        <f t="shared" si="8"/>
        <v>-22</v>
      </c>
      <c r="G217" s="441" t="s">
        <v>460</v>
      </c>
      <c r="H217" s="442"/>
      <c r="I217" s="105">
        <v>20</v>
      </c>
      <c r="J217" s="106">
        <v>20</v>
      </c>
      <c r="K217" s="107">
        <f t="shared" si="9"/>
        <v>0</v>
      </c>
      <c r="L217" s="60"/>
      <c r="M217" s="103" t="s">
        <v>461</v>
      </c>
      <c r="N217" s="233"/>
      <c r="O217" s="104">
        <f>+K210</f>
        <v>0</v>
      </c>
    </row>
    <row r="218" spans="1:15" ht="16.8" thickBot="1">
      <c r="A218" s="85" t="s">
        <v>462</v>
      </c>
      <c r="B218" s="85"/>
      <c r="C218" s="130" t="s">
        <v>463</v>
      </c>
      <c r="D218" s="131"/>
      <c r="E218" s="132"/>
      <c r="F218" s="133">
        <f t="shared" si="8"/>
        <v>0</v>
      </c>
      <c r="G218" s="443" t="s">
        <v>464</v>
      </c>
      <c r="H218" s="444"/>
      <c r="I218" s="109">
        <f>SUM(I213:I217)</f>
        <v>281</v>
      </c>
      <c r="J218" s="110">
        <f>SUM(J213:J217)</f>
        <v>274</v>
      </c>
      <c r="K218" s="111">
        <f t="shared" si="9"/>
        <v>-7</v>
      </c>
      <c r="L218" s="60"/>
      <c r="M218" s="134"/>
      <c r="N218" s="235"/>
      <c r="O218" s="120"/>
    </row>
    <row r="219" spans="1:15" ht="16.8" thickBot="1">
      <c r="A219" s="95">
        <f>IFERROR(D223/D219,"")</f>
        <v>0.78459343794579173</v>
      </c>
      <c r="B219" s="95">
        <f>IFERROR(E223/E219,"")</f>
        <v>0.83659217877094971</v>
      </c>
      <c r="C219" s="69" t="s">
        <v>465</v>
      </c>
      <c r="D219" s="122">
        <f>D208+D217+D218</f>
        <v>701</v>
      </c>
      <c r="E219" s="122">
        <f>E208+E217+E218</f>
        <v>716</v>
      </c>
      <c r="F219" s="123">
        <f t="shared" si="8"/>
        <v>15</v>
      </c>
      <c r="G219" s="443" t="s">
        <v>466</v>
      </c>
      <c r="H219" s="444"/>
      <c r="I219" s="109">
        <f>I212+I218</f>
        <v>701</v>
      </c>
      <c r="J219" s="110">
        <f>J212+J218</f>
        <v>716</v>
      </c>
      <c r="K219" s="111">
        <f t="shared" si="9"/>
        <v>15</v>
      </c>
      <c r="L219" s="60"/>
      <c r="M219" s="135" t="s">
        <v>467</v>
      </c>
      <c r="N219" s="236"/>
      <c r="O219" s="136">
        <f>SUM(O201:O218)</f>
        <v>-7</v>
      </c>
    </row>
    <row r="220" spans="1:15">
      <c r="A220" s="59"/>
      <c r="B220" s="59"/>
      <c r="C220" s="137" t="s">
        <v>468</v>
      </c>
      <c r="D220" s="138"/>
      <c r="E220" s="63"/>
      <c r="F220" s="63"/>
      <c r="G220" s="63"/>
      <c r="H220" s="139" t="s">
        <v>469</v>
      </c>
      <c r="I220" s="140">
        <f>+I218/I219</f>
        <v>0.40085592011412269</v>
      </c>
      <c r="J220" s="140">
        <f>+J218/J219</f>
        <v>0.38268156424581007</v>
      </c>
      <c r="K220" s="63" t="s">
        <v>470</v>
      </c>
      <c r="L220" s="60"/>
      <c r="M220" s="141" t="s">
        <v>471</v>
      </c>
      <c r="N220" s="237"/>
      <c r="O220" s="142">
        <f>-E240</f>
        <v>-13</v>
      </c>
    </row>
    <row r="221" spans="1:15" ht="16.8" thickBot="1">
      <c r="A221" s="59"/>
      <c r="B221" s="59"/>
      <c r="C221" s="143" t="s">
        <v>472</v>
      </c>
      <c r="D221" s="68"/>
      <c r="E221" s="144"/>
      <c r="F221" s="68" t="s">
        <v>396</v>
      </c>
      <c r="G221" s="453" t="s">
        <v>473</v>
      </c>
      <c r="H221" s="145"/>
      <c r="I221" s="63"/>
      <c r="J221" s="63"/>
      <c r="K221" s="66"/>
      <c r="L221" s="60"/>
      <c r="M221" s="141" t="s">
        <v>474</v>
      </c>
      <c r="N221" s="237"/>
      <c r="O221" s="142">
        <f>-E234</f>
        <v>-2</v>
      </c>
    </row>
    <row r="222" spans="1:15" ht="16.8" thickBot="1">
      <c r="A222" s="59"/>
      <c r="B222" s="59"/>
      <c r="C222" s="69" t="s">
        <v>399</v>
      </c>
      <c r="D222" s="70" t="str">
        <f>+D199</f>
        <v>前期</v>
      </c>
      <c r="E222" s="71" t="str">
        <f>+E199</f>
        <v>当期</v>
      </c>
      <c r="F222" s="74" t="s">
        <v>402</v>
      </c>
      <c r="G222" s="453"/>
      <c r="H222" s="63"/>
      <c r="I222" s="63"/>
      <c r="J222" s="63"/>
      <c r="K222" s="63"/>
      <c r="L222" s="60"/>
      <c r="M222" s="146"/>
      <c r="N222" s="238"/>
      <c r="O222" s="147">
        <f>+SUM(O219:O221)</f>
        <v>-22</v>
      </c>
    </row>
    <row r="223" spans="1:15">
      <c r="A223" s="59"/>
      <c r="B223" s="59"/>
      <c r="C223" s="148" t="s">
        <v>475</v>
      </c>
      <c r="D223" s="124">
        <v>550</v>
      </c>
      <c r="E223" s="149">
        <v>599</v>
      </c>
      <c r="F223" s="150">
        <f t="shared" ref="F223:F235" si="10">E223-D223</f>
        <v>49</v>
      </c>
      <c r="G223" s="151">
        <f>+E223/D223</f>
        <v>1.0890909090909091</v>
      </c>
      <c r="H223" s="63"/>
      <c r="I223" s="63"/>
      <c r="J223" s="63"/>
      <c r="K223" s="63"/>
      <c r="L223" s="60"/>
      <c r="M223" s="152" t="s">
        <v>476</v>
      </c>
      <c r="N223" s="239"/>
      <c r="O223" s="153"/>
    </row>
    <row r="224" spans="1:15" ht="16.8" thickBot="1">
      <c r="A224" s="59"/>
      <c r="B224" s="59"/>
      <c r="C224" s="154" t="s">
        <v>477</v>
      </c>
      <c r="D224" s="128">
        <v>470</v>
      </c>
      <c r="E224" s="155">
        <v>523</v>
      </c>
      <c r="F224" s="156">
        <f t="shared" si="10"/>
        <v>53</v>
      </c>
      <c r="G224" s="157"/>
      <c r="H224" s="63"/>
      <c r="I224" s="63"/>
      <c r="J224" s="63"/>
      <c r="K224" s="63"/>
      <c r="L224" s="60"/>
      <c r="M224" s="97" t="s">
        <v>478</v>
      </c>
      <c r="N224" s="232"/>
      <c r="O224" s="98">
        <f>-F203</f>
        <v>0</v>
      </c>
    </row>
    <row r="225" spans="1:15" ht="16.8" thickBot="1">
      <c r="A225" s="59"/>
      <c r="B225" s="59"/>
      <c r="C225" s="69" t="s">
        <v>479</v>
      </c>
      <c r="D225" s="122">
        <f>D223-D224</f>
        <v>80</v>
      </c>
      <c r="E225" s="158">
        <f>E223-E224</f>
        <v>76</v>
      </c>
      <c r="F225" s="159">
        <f t="shared" si="10"/>
        <v>-4</v>
      </c>
      <c r="G225" s="160">
        <f>+E225/D225</f>
        <v>0.95</v>
      </c>
      <c r="H225" s="63"/>
      <c r="I225" s="63"/>
      <c r="J225" s="63"/>
      <c r="K225" s="63"/>
      <c r="L225" s="60"/>
      <c r="M225" s="103" t="s">
        <v>480</v>
      </c>
      <c r="N225" s="233"/>
      <c r="O225" s="104">
        <f>-F205</f>
        <v>0</v>
      </c>
    </row>
    <row r="226" spans="1:15" ht="16.8" thickBot="1">
      <c r="A226" s="59"/>
      <c r="B226" s="108"/>
      <c r="C226" s="161" t="s">
        <v>481</v>
      </c>
      <c r="D226" s="132">
        <v>53</v>
      </c>
      <c r="E226" s="162">
        <v>54</v>
      </c>
      <c r="F226" s="163">
        <f t="shared" si="10"/>
        <v>1</v>
      </c>
      <c r="G226" s="157"/>
      <c r="H226" s="63"/>
      <c r="I226" s="63"/>
      <c r="J226" s="63"/>
      <c r="K226" s="63"/>
      <c r="L226" s="60"/>
      <c r="M226" s="119" t="s">
        <v>482</v>
      </c>
      <c r="N226" s="234"/>
      <c r="O226" s="127">
        <f>-F209</f>
        <v>0</v>
      </c>
    </row>
    <row r="227" spans="1:15" ht="16.8" thickBot="1">
      <c r="A227" s="59"/>
      <c r="B227" s="59"/>
      <c r="C227" s="69" t="s">
        <v>483</v>
      </c>
      <c r="D227" s="122">
        <f>D225-D226</f>
        <v>27</v>
      </c>
      <c r="E227" s="158">
        <f>E225-E226</f>
        <v>22</v>
      </c>
      <c r="F227" s="159">
        <f t="shared" si="10"/>
        <v>-5</v>
      </c>
      <c r="G227" s="160">
        <f>+E227/D227</f>
        <v>0.81481481481481477</v>
      </c>
      <c r="H227" s="164">
        <f>+E227/E223</f>
        <v>3.6727879799666109E-2</v>
      </c>
      <c r="I227" s="63"/>
      <c r="J227" s="63"/>
      <c r="K227" s="63"/>
      <c r="L227" s="60"/>
      <c r="M227" s="103" t="s">
        <v>484</v>
      </c>
      <c r="N227" s="233"/>
      <c r="O227" s="104">
        <f>-F210-E239-F232</f>
        <v>3</v>
      </c>
    </row>
    <row r="228" spans="1:15">
      <c r="A228" s="59"/>
      <c r="B228" s="59"/>
      <c r="C228" s="165" t="s">
        <v>485</v>
      </c>
      <c r="D228" s="124">
        <v>0</v>
      </c>
      <c r="E228" s="166">
        <v>0</v>
      </c>
      <c r="F228" s="150">
        <f t="shared" si="10"/>
        <v>0</v>
      </c>
      <c r="G228" s="157"/>
      <c r="H228" s="63"/>
      <c r="I228" s="63"/>
      <c r="J228" s="63"/>
      <c r="K228" s="63"/>
      <c r="L228" s="60"/>
      <c r="M228" s="103" t="s">
        <v>486</v>
      </c>
      <c r="N228" s="233"/>
      <c r="O228" s="104">
        <f>-F211</f>
        <v>0</v>
      </c>
    </row>
    <row r="229" spans="1:15" ht="16.8" thickBot="1">
      <c r="A229" s="59"/>
      <c r="B229" s="59"/>
      <c r="C229" s="167" t="s">
        <v>487</v>
      </c>
      <c r="D229" s="128">
        <v>12</v>
      </c>
      <c r="E229" s="155">
        <v>13</v>
      </c>
      <c r="F229" s="156">
        <f t="shared" si="10"/>
        <v>1</v>
      </c>
      <c r="G229" s="157"/>
      <c r="H229" s="63"/>
      <c r="I229" s="63"/>
      <c r="J229" s="63"/>
      <c r="K229" s="63"/>
      <c r="L229" s="60"/>
      <c r="M229" s="103" t="s">
        <v>488</v>
      </c>
      <c r="N229" s="233"/>
      <c r="O229" s="104">
        <f>-F212</f>
        <v>0</v>
      </c>
    </row>
    <row r="230" spans="1:15" ht="16.8" thickBot="1">
      <c r="A230" s="59"/>
      <c r="B230" s="59"/>
      <c r="C230" s="69" t="s">
        <v>489</v>
      </c>
      <c r="D230" s="122">
        <f>D227+D228-D229</f>
        <v>15</v>
      </c>
      <c r="E230" s="158">
        <f>E227+E228-E229</f>
        <v>9</v>
      </c>
      <c r="F230" s="159">
        <f t="shared" si="10"/>
        <v>-6</v>
      </c>
      <c r="G230" s="160">
        <f>+E230/D230</f>
        <v>0.6</v>
      </c>
      <c r="H230" s="168"/>
      <c r="I230" s="63"/>
      <c r="J230" s="63"/>
      <c r="K230" s="63"/>
      <c r="L230" s="60"/>
      <c r="M230" s="103" t="s">
        <v>490</v>
      </c>
      <c r="N230" s="233"/>
      <c r="O230" s="104">
        <f>-F213</f>
        <v>0</v>
      </c>
    </row>
    <row r="231" spans="1:15">
      <c r="A231" s="59"/>
      <c r="B231" s="59"/>
      <c r="C231" s="169" t="s">
        <v>491</v>
      </c>
      <c r="D231" s="124"/>
      <c r="E231" s="166"/>
      <c r="F231" s="150">
        <f t="shared" si="10"/>
        <v>0</v>
      </c>
      <c r="G231" s="170" t="s">
        <v>492</v>
      </c>
      <c r="H231" s="170"/>
      <c r="I231" s="63"/>
      <c r="J231" s="63"/>
      <c r="K231" s="63"/>
      <c r="L231" s="60"/>
      <c r="M231" s="103" t="s">
        <v>493</v>
      </c>
      <c r="N231" s="233"/>
      <c r="O231" s="104">
        <f>-F214</f>
        <v>0</v>
      </c>
    </row>
    <row r="232" spans="1:15" ht="16.8" thickBot="1">
      <c r="A232" s="59"/>
      <c r="B232" s="59"/>
      <c r="C232" s="171" t="s">
        <v>494</v>
      </c>
      <c r="D232" s="128"/>
      <c r="E232" s="155">
        <v>4</v>
      </c>
      <c r="F232" s="156">
        <f t="shared" si="10"/>
        <v>4</v>
      </c>
      <c r="G232" s="170" t="s">
        <v>492</v>
      </c>
      <c r="H232" s="170"/>
      <c r="I232" s="63"/>
      <c r="J232" s="63"/>
      <c r="K232" s="63"/>
      <c r="L232" s="60"/>
      <c r="M232" s="103" t="s">
        <v>495</v>
      </c>
      <c r="N232" s="233"/>
      <c r="O232" s="172">
        <f>-F215</f>
        <v>0</v>
      </c>
    </row>
    <row r="233" spans="1:15" ht="16.8" thickBot="1">
      <c r="A233" s="59"/>
      <c r="B233" s="59"/>
      <c r="C233" s="69" t="s">
        <v>496</v>
      </c>
      <c r="D233" s="122">
        <f>D230+D231-D232</f>
        <v>15</v>
      </c>
      <c r="E233" s="158">
        <f>E230+E231-E232</f>
        <v>5</v>
      </c>
      <c r="F233" s="159">
        <f t="shared" si="10"/>
        <v>-10</v>
      </c>
      <c r="G233" s="170" t="s">
        <v>497</v>
      </c>
      <c r="H233" s="170"/>
      <c r="I233" s="63"/>
      <c r="J233" s="63"/>
      <c r="K233" s="63"/>
      <c r="L233" s="60"/>
      <c r="M233" s="134" t="s">
        <v>498</v>
      </c>
      <c r="N233" s="235"/>
      <c r="O233" s="120">
        <f>-F218</f>
        <v>0</v>
      </c>
    </row>
    <row r="234" spans="1:15" ht="16.8" thickBot="1">
      <c r="A234" s="59"/>
      <c r="B234" s="59"/>
      <c r="C234" s="173" t="s">
        <v>499</v>
      </c>
      <c r="D234" s="132">
        <v>6</v>
      </c>
      <c r="E234" s="162">
        <v>2</v>
      </c>
      <c r="F234" s="163">
        <f t="shared" si="10"/>
        <v>-4</v>
      </c>
      <c r="G234" s="170" t="s">
        <v>492</v>
      </c>
      <c r="H234" s="170"/>
      <c r="I234" s="63"/>
      <c r="J234" s="63"/>
      <c r="K234" s="63"/>
      <c r="L234" s="60"/>
      <c r="M234" s="174" t="s">
        <v>500</v>
      </c>
      <c r="N234" s="240"/>
      <c r="O234" s="175">
        <f>SUM(O224:O233)</f>
        <v>3</v>
      </c>
    </row>
    <row r="235" spans="1:15" ht="16.8" thickBot="1">
      <c r="A235" s="59"/>
      <c r="B235" s="59"/>
      <c r="C235" s="69" t="s">
        <v>501</v>
      </c>
      <c r="D235" s="122">
        <f>D233-D234</f>
        <v>9</v>
      </c>
      <c r="E235" s="176">
        <f>+E233-E234</f>
        <v>3</v>
      </c>
      <c r="F235" s="159">
        <f t="shared" si="10"/>
        <v>-6</v>
      </c>
      <c r="G235" s="170" t="s">
        <v>492</v>
      </c>
      <c r="H235" s="170"/>
      <c r="I235" s="63"/>
      <c r="J235" s="63"/>
      <c r="K235" s="63"/>
      <c r="L235" s="60"/>
      <c r="M235" s="177" t="s">
        <v>502</v>
      </c>
      <c r="N235" s="241"/>
      <c r="O235" s="178"/>
    </row>
    <row r="236" spans="1:15">
      <c r="A236" s="59"/>
      <c r="B236" s="59"/>
      <c r="C236" s="179"/>
      <c r="D236" s="180"/>
      <c r="E236" s="180"/>
      <c r="F236" s="181"/>
      <c r="G236" s="170"/>
      <c r="H236" s="170"/>
      <c r="I236" s="63"/>
      <c r="J236" s="63"/>
      <c r="K236" s="63"/>
      <c r="L236" s="60"/>
      <c r="M236" s="97" t="s">
        <v>503</v>
      </c>
      <c r="N236" s="232"/>
      <c r="O236" s="98">
        <f>+K202</f>
        <v>14</v>
      </c>
    </row>
    <row r="237" spans="1:15" ht="16.8" thickBot="1">
      <c r="A237" s="59"/>
      <c r="B237" s="59"/>
      <c r="C237" s="182" t="s">
        <v>504</v>
      </c>
      <c r="D237" s="183"/>
      <c r="E237" s="183"/>
      <c r="F237" s="68" t="s">
        <v>396</v>
      </c>
      <c r="G237" s="170"/>
      <c r="H237" s="170"/>
      <c r="I237" s="63"/>
      <c r="J237" s="63"/>
      <c r="K237" s="63"/>
      <c r="L237" s="60"/>
      <c r="M237" s="103" t="s">
        <v>505</v>
      </c>
      <c r="N237" s="233"/>
      <c r="O237" s="104">
        <f>+K207</f>
        <v>0</v>
      </c>
    </row>
    <row r="238" spans="1:15" ht="16.8" thickBot="1">
      <c r="A238" s="59"/>
      <c r="B238" s="59"/>
      <c r="C238" s="69" t="s">
        <v>399</v>
      </c>
      <c r="D238" s="70" t="s">
        <v>400</v>
      </c>
      <c r="E238" s="71" t="s">
        <v>401</v>
      </c>
      <c r="F238" s="74" t="s">
        <v>402</v>
      </c>
      <c r="G238" s="170"/>
      <c r="H238" s="170"/>
      <c r="I238" s="63"/>
      <c r="J238" s="63"/>
      <c r="K238" s="63"/>
      <c r="L238" s="60"/>
      <c r="M238" s="103" t="s">
        <v>506</v>
      </c>
      <c r="N238" s="233"/>
      <c r="O238" s="104">
        <f>+K208</f>
        <v>0</v>
      </c>
    </row>
    <row r="239" spans="1:15">
      <c r="A239" s="59"/>
      <c r="B239" s="59"/>
      <c r="C239" s="184" t="s">
        <v>507</v>
      </c>
      <c r="D239" s="185">
        <v>16</v>
      </c>
      <c r="E239" s="186">
        <v>15</v>
      </c>
      <c r="F239" s="187">
        <f>+E239-D239</f>
        <v>-1</v>
      </c>
      <c r="G239" s="188"/>
      <c r="H239" s="188"/>
      <c r="I239" s="188"/>
      <c r="J239" s="188"/>
      <c r="K239" s="63"/>
      <c r="L239" s="60"/>
      <c r="M239" s="103" t="s">
        <v>508</v>
      </c>
      <c r="N239" s="233"/>
      <c r="O239" s="104">
        <f>+K213+K214</f>
        <v>1</v>
      </c>
    </row>
    <row r="240" spans="1:15" ht="16.8" thickBot="1">
      <c r="A240" s="59"/>
      <c r="B240" s="59"/>
      <c r="C240" s="189" t="s">
        <v>509</v>
      </c>
      <c r="D240" s="190">
        <f>+D229</f>
        <v>12</v>
      </c>
      <c r="E240" s="191">
        <f>+E229</f>
        <v>13</v>
      </c>
      <c r="F240" s="192">
        <f>+E240-D240</f>
        <v>1</v>
      </c>
      <c r="G240" s="188"/>
      <c r="H240" s="188"/>
      <c r="I240" s="188"/>
      <c r="J240" s="188"/>
      <c r="K240" s="63"/>
      <c r="L240" s="60"/>
      <c r="M240" s="103" t="s">
        <v>510</v>
      </c>
      <c r="N240" s="233"/>
      <c r="O240" s="104">
        <f>+K216</f>
        <v>0</v>
      </c>
    </row>
    <row r="241" spans="1:16">
      <c r="A241" s="59"/>
      <c r="B241" s="59"/>
      <c r="C241" s="59"/>
      <c r="D241" s="63"/>
      <c r="E241" s="63"/>
      <c r="F241" s="63"/>
      <c r="G241" s="63"/>
      <c r="H241" s="63"/>
      <c r="I241" s="63"/>
      <c r="J241" s="63"/>
      <c r="K241" s="63"/>
      <c r="L241" s="60"/>
      <c r="M241" s="134" t="s">
        <v>511</v>
      </c>
      <c r="N241" s="235"/>
      <c r="O241" s="120">
        <f>+G250</f>
        <v>-11</v>
      </c>
    </row>
    <row r="242" spans="1:16" ht="16.8" thickBot="1">
      <c r="A242" s="59"/>
      <c r="B242" s="59"/>
      <c r="C242" s="59" t="s">
        <v>512</v>
      </c>
      <c r="D242" s="63"/>
      <c r="E242" s="63"/>
      <c r="F242" s="63"/>
      <c r="G242" s="63"/>
      <c r="H242" s="63"/>
      <c r="I242" s="63"/>
      <c r="J242" s="66"/>
      <c r="K242" s="66" t="s">
        <v>396</v>
      </c>
      <c r="L242" s="60"/>
      <c r="M242" s="193" t="s">
        <v>513</v>
      </c>
      <c r="N242" s="242"/>
      <c r="O242" s="194">
        <f>SUM(O236:O241)</f>
        <v>4</v>
      </c>
      <c r="P242" s="35" t="s">
        <v>536</v>
      </c>
    </row>
    <row r="243" spans="1:16">
      <c r="A243" s="59"/>
      <c r="B243" s="59"/>
      <c r="C243" s="454" t="s">
        <v>399</v>
      </c>
      <c r="D243" s="457" t="s">
        <v>514</v>
      </c>
      <c r="E243" s="457"/>
      <c r="F243" s="457"/>
      <c r="G243" s="457"/>
      <c r="H243" s="457"/>
      <c r="I243" s="458"/>
      <c r="J243" s="459" t="s">
        <v>460</v>
      </c>
      <c r="K243" s="462" t="s">
        <v>464</v>
      </c>
      <c r="L243" s="60"/>
      <c r="M243" s="195" t="s">
        <v>515</v>
      </c>
      <c r="N243" s="243"/>
      <c r="O243" s="196">
        <f>+SUM(O222,O234,O242)</f>
        <v>-15</v>
      </c>
    </row>
    <row r="244" spans="1:16">
      <c r="A244" s="59"/>
      <c r="B244" s="59"/>
      <c r="C244" s="455"/>
      <c r="D244" s="465" t="s">
        <v>448</v>
      </c>
      <c r="E244" s="465" t="s">
        <v>516</v>
      </c>
      <c r="F244" s="467" t="s">
        <v>517</v>
      </c>
      <c r="G244" s="468"/>
      <c r="H244" s="469" t="s">
        <v>457</v>
      </c>
      <c r="I244" s="460" t="s">
        <v>518</v>
      </c>
      <c r="J244" s="460"/>
      <c r="K244" s="463"/>
      <c r="L244" s="60"/>
      <c r="M244" s="197" t="s">
        <v>519</v>
      </c>
      <c r="N244" s="244"/>
      <c r="O244" s="198">
        <f>+D200</f>
        <v>81</v>
      </c>
    </row>
    <row r="245" spans="1:16" ht="33" thickBot="1">
      <c r="A245" s="59"/>
      <c r="B245" s="59"/>
      <c r="C245" s="456"/>
      <c r="D245" s="466"/>
      <c r="E245" s="466"/>
      <c r="F245" s="247" t="s">
        <v>520</v>
      </c>
      <c r="G245" s="48" t="s">
        <v>521</v>
      </c>
      <c r="H245" s="461"/>
      <c r="I245" s="461"/>
      <c r="J245" s="461"/>
      <c r="K245" s="464"/>
      <c r="L245" s="60"/>
      <c r="M245" s="200" t="s">
        <v>522</v>
      </c>
      <c r="N245" s="245"/>
      <c r="O245" s="201">
        <f>+O243+O244</f>
        <v>66</v>
      </c>
    </row>
    <row r="246" spans="1:16" ht="16.8" thickBot="1">
      <c r="A246" s="59"/>
      <c r="B246" s="59"/>
      <c r="C246" s="202" t="s">
        <v>523</v>
      </c>
      <c r="D246" s="203">
        <f>I213</f>
        <v>200</v>
      </c>
      <c r="E246" s="204">
        <f>I214</f>
        <v>40</v>
      </c>
      <c r="F246" s="205">
        <v>20</v>
      </c>
      <c r="G246" s="206">
        <v>21</v>
      </c>
      <c r="H246" s="207">
        <f>I216</f>
        <v>0</v>
      </c>
      <c r="I246" s="208">
        <f t="shared" ref="I246:I251" si="11">SUM(D246:H246)</f>
        <v>281</v>
      </c>
      <c r="J246" s="204">
        <f>I217</f>
        <v>20</v>
      </c>
      <c r="K246" s="187">
        <f>I246+J246</f>
        <v>301</v>
      </c>
      <c r="L246" s="60"/>
      <c r="M246" s="209" t="s">
        <v>524</v>
      </c>
      <c r="N246" s="246"/>
      <c r="O246" s="210">
        <f>+E200</f>
        <v>66</v>
      </c>
    </row>
    <row r="247" spans="1:16" ht="16.8" thickBot="1">
      <c r="A247" s="59"/>
      <c r="B247" s="59"/>
      <c r="C247" s="211" t="s">
        <v>525</v>
      </c>
      <c r="D247" s="212"/>
      <c r="E247" s="213"/>
      <c r="F247" s="212"/>
      <c r="G247" s="213"/>
      <c r="H247" s="213"/>
      <c r="I247" s="214">
        <f t="shared" si="11"/>
        <v>0</v>
      </c>
      <c r="J247" s="213"/>
      <c r="K247" s="215">
        <f t="shared" ref="K247:K251" si="12">I247+J247</f>
        <v>0</v>
      </c>
      <c r="L247" s="60"/>
      <c r="M247" s="63"/>
      <c r="N247" s="63"/>
      <c r="O247" s="216">
        <f>O245-O246</f>
        <v>0</v>
      </c>
    </row>
    <row r="248" spans="1:16" ht="16.8" thickTop="1">
      <c r="A248" s="59"/>
      <c r="B248" s="59"/>
      <c r="C248" s="217" t="s">
        <v>526</v>
      </c>
      <c r="D248" s="212"/>
      <c r="E248" s="213"/>
      <c r="F248" s="218"/>
      <c r="G248" s="213">
        <f>F248*-1</f>
        <v>0</v>
      </c>
      <c r="H248" s="213"/>
      <c r="I248" s="219">
        <f t="shared" si="11"/>
        <v>0</v>
      </c>
      <c r="J248" s="213"/>
      <c r="K248" s="215">
        <f t="shared" si="12"/>
        <v>0</v>
      </c>
      <c r="L248" s="60"/>
      <c r="M248" s="63"/>
      <c r="N248" s="63"/>
      <c r="O248" s="220"/>
    </row>
    <row r="249" spans="1:16">
      <c r="A249" s="59"/>
      <c r="B249" s="59"/>
      <c r="C249" s="211" t="s">
        <v>527</v>
      </c>
      <c r="D249" s="212"/>
      <c r="E249" s="213"/>
      <c r="F249" s="218"/>
      <c r="G249" s="213">
        <f>F249*-1</f>
        <v>0</v>
      </c>
      <c r="H249" s="213"/>
      <c r="I249" s="221">
        <f t="shared" si="11"/>
        <v>0</v>
      </c>
      <c r="J249" s="213"/>
      <c r="K249" s="215">
        <f t="shared" si="12"/>
        <v>0</v>
      </c>
      <c r="L249" s="60"/>
      <c r="M249" s="222" t="s">
        <v>528</v>
      </c>
      <c r="N249" s="222"/>
      <c r="O249" s="63"/>
    </row>
    <row r="250" spans="1:16">
      <c r="A250" s="59"/>
      <c r="B250" s="59"/>
      <c r="C250" s="211" t="s">
        <v>529</v>
      </c>
      <c r="D250" s="212"/>
      <c r="E250" s="213">
        <v>1</v>
      </c>
      <c r="F250" s="212"/>
      <c r="G250" s="91">
        <v>-11</v>
      </c>
      <c r="H250" s="213"/>
      <c r="I250" s="221">
        <f t="shared" si="11"/>
        <v>-10</v>
      </c>
      <c r="J250" s="213"/>
      <c r="K250" s="215">
        <f t="shared" si="12"/>
        <v>-10</v>
      </c>
      <c r="L250" s="60"/>
      <c r="M250" s="60"/>
      <c r="N250" s="60"/>
      <c r="O250" s="60"/>
    </row>
    <row r="251" spans="1:16">
      <c r="A251" s="59"/>
      <c r="B251" s="59"/>
      <c r="C251" s="211" t="s">
        <v>530</v>
      </c>
      <c r="D251" s="212"/>
      <c r="E251" s="213"/>
      <c r="F251" s="212"/>
      <c r="G251" s="213">
        <f>E235</f>
        <v>3</v>
      </c>
      <c r="H251" s="213"/>
      <c r="I251" s="221">
        <f t="shared" si="11"/>
        <v>3</v>
      </c>
      <c r="J251" s="213"/>
      <c r="K251" s="215">
        <f t="shared" si="12"/>
        <v>3</v>
      </c>
      <c r="L251" s="60"/>
      <c r="M251" s="60"/>
      <c r="N251" s="60"/>
      <c r="O251" s="60"/>
    </row>
    <row r="252" spans="1:16">
      <c r="A252" s="59"/>
      <c r="B252" s="59"/>
      <c r="C252" s="217" t="s">
        <v>531</v>
      </c>
      <c r="D252" s="212"/>
      <c r="E252" s="213"/>
      <c r="F252" s="212"/>
      <c r="G252" s="213"/>
      <c r="H252" s="213">
        <f>H254</f>
        <v>0</v>
      </c>
      <c r="I252" s="221">
        <f>+H252</f>
        <v>0</v>
      </c>
      <c r="J252" s="213"/>
      <c r="K252" s="215">
        <f>+I252</f>
        <v>0</v>
      </c>
      <c r="L252" s="60"/>
      <c r="M252" s="60"/>
      <c r="N252" s="60"/>
      <c r="O252" s="60"/>
    </row>
    <row r="253" spans="1:16">
      <c r="A253" s="59"/>
      <c r="B253" s="59"/>
      <c r="C253" s="217" t="s">
        <v>532</v>
      </c>
      <c r="D253" s="212"/>
      <c r="E253" s="213"/>
      <c r="F253" s="218"/>
      <c r="G253" s="91"/>
      <c r="H253" s="213"/>
      <c r="I253" s="223">
        <f t="shared" ref="I253" si="13">SUM(D253:H253)</f>
        <v>0</v>
      </c>
      <c r="J253" s="213">
        <f>J254</f>
        <v>0</v>
      </c>
      <c r="K253" s="215">
        <f t="shared" ref="K253:K254" si="14">I253+J253</f>
        <v>0</v>
      </c>
      <c r="L253" s="60"/>
      <c r="M253" s="60"/>
      <c r="N253" s="60"/>
      <c r="O253" s="60"/>
    </row>
    <row r="254" spans="1:16">
      <c r="A254" s="59"/>
      <c r="B254" s="59"/>
      <c r="C254" s="211" t="s">
        <v>533</v>
      </c>
      <c r="D254" s="212">
        <f>K213</f>
        <v>0</v>
      </c>
      <c r="E254" s="213">
        <f>K214</f>
        <v>1</v>
      </c>
      <c r="F254" s="212">
        <f>SUM(F248:F253)</f>
        <v>0</v>
      </c>
      <c r="G254" s="213">
        <f>SUM(G248:G253)</f>
        <v>-8</v>
      </c>
      <c r="H254" s="213">
        <f>K216</f>
        <v>0</v>
      </c>
      <c r="I254" s="224">
        <f>SUM(D254:H254)</f>
        <v>-7</v>
      </c>
      <c r="J254" s="213">
        <f>K217</f>
        <v>0</v>
      </c>
      <c r="K254" s="215">
        <f t="shared" si="14"/>
        <v>-7</v>
      </c>
      <c r="L254" s="60"/>
      <c r="M254" s="60"/>
      <c r="N254" s="60"/>
      <c r="O254" s="60"/>
    </row>
    <row r="255" spans="1:16" ht="16.8" thickBot="1">
      <c r="A255" s="59"/>
      <c r="B255" s="59"/>
      <c r="C255" s="225" t="s">
        <v>534</v>
      </c>
      <c r="D255" s="226">
        <f>D246+D254</f>
        <v>200</v>
      </c>
      <c r="E255" s="227">
        <f>E246+E254</f>
        <v>41</v>
      </c>
      <c r="F255" s="226">
        <f>F246+F254</f>
        <v>20</v>
      </c>
      <c r="G255" s="227">
        <f>G246+G254</f>
        <v>13</v>
      </c>
      <c r="H255" s="227">
        <f>+J216</f>
        <v>0</v>
      </c>
      <c r="I255" s="227">
        <f>I246+I254</f>
        <v>274</v>
      </c>
      <c r="J255" s="227">
        <f>+J217</f>
        <v>20</v>
      </c>
      <c r="K255" s="228">
        <f>K246+K254</f>
        <v>294</v>
      </c>
      <c r="L255" s="60"/>
      <c r="M255" s="60"/>
      <c r="N255" s="60"/>
      <c r="O255" s="60"/>
    </row>
    <row r="258" spans="1:15">
      <c r="A258" s="35" t="s">
        <v>538</v>
      </c>
      <c r="B258" s="35" t="s">
        <v>391</v>
      </c>
    </row>
    <row r="259" spans="1:15">
      <c r="B259" s="35" t="s">
        <v>537</v>
      </c>
    </row>
    <row r="262" spans="1:15">
      <c r="A262" s="59"/>
      <c r="B262" s="59"/>
      <c r="C262" s="448" t="s">
        <v>392</v>
      </c>
      <c r="D262" s="448"/>
      <c r="E262" s="448"/>
      <c r="F262" s="448"/>
      <c r="G262" s="448"/>
      <c r="H262" s="448"/>
      <c r="I262" s="448"/>
      <c r="J262" s="448"/>
      <c r="K262" s="448"/>
      <c r="L262" s="60"/>
      <c r="M262" s="449" t="s">
        <v>393</v>
      </c>
      <c r="N262" s="449"/>
      <c r="O262" s="449"/>
    </row>
    <row r="263" spans="1:15">
      <c r="A263" s="59"/>
      <c r="B263" s="59"/>
      <c r="C263" s="61"/>
      <c r="D263" s="62"/>
      <c r="E263" s="62"/>
      <c r="F263" s="62"/>
      <c r="G263" s="63"/>
      <c r="H263" s="63"/>
      <c r="I263" s="63"/>
      <c r="J263" s="63"/>
      <c r="K263" s="63"/>
      <c r="L263" s="60"/>
      <c r="M263" s="450" t="s">
        <v>394</v>
      </c>
      <c r="N263" s="450"/>
      <c r="O263" s="450"/>
    </row>
    <row r="264" spans="1:15" ht="16.8" thickBot="1">
      <c r="A264" s="59"/>
      <c r="B264" s="59"/>
      <c r="C264" s="64" t="s">
        <v>395</v>
      </c>
      <c r="D264" s="63"/>
      <c r="E264" s="65"/>
      <c r="F264" s="66"/>
      <c r="G264" s="67"/>
      <c r="H264" s="67"/>
      <c r="I264" s="63"/>
      <c r="J264" s="65"/>
      <c r="K264" s="68" t="s">
        <v>396</v>
      </c>
      <c r="L264" s="60"/>
      <c r="M264" s="62"/>
      <c r="N264" s="62"/>
      <c r="O264" s="62" t="s">
        <v>397</v>
      </c>
    </row>
    <row r="265" spans="1:15" ht="16.8" thickBot="1">
      <c r="A265" s="59" t="s">
        <v>398</v>
      </c>
      <c r="B265" s="59"/>
      <c r="C265" s="69" t="s">
        <v>399</v>
      </c>
      <c r="D265" s="70" t="s">
        <v>400</v>
      </c>
      <c r="E265" s="71" t="s">
        <v>401</v>
      </c>
      <c r="F265" s="71" t="s">
        <v>402</v>
      </c>
      <c r="G265" s="443" t="s">
        <v>399</v>
      </c>
      <c r="H265" s="444"/>
      <c r="I265" s="72" t="str">
        <f>+D265</f>
        <v>前期</v>
      </c>
      <c r="J265" s="73" t="str">
        <f>+E265</f>
        <v>当期</v>
      </c>
      <c r="K265" s="74" t="s">
        <v>402</v>
      </c>
      <c r="L265" s="60"/>
      <c r="M265" s="75" t="s">
        <v>403</v>
      </c>
      <c r="N265" s="229"/>
      <c r="O265" s="76" t="s">
        <v>404</v>
      </c>
    </row>
    <row r="266" spans="1:15">
      <c r="A266" s="59"/>
      <c r="B266" s="59"/>
      <c r="C266" s="77" t="s">
        <v>405</v>
      </c>
      <c r="D266" s="78">
        <v>126</v>
      </c>
      <c r="E266" s="79">
        <v>163</v>
      </c>
      <c r="F266" s="80">
        <f t="shared" ref="F266:F285" si="15">E266-D266</f>
        <v>37</v>
      </c>
      <c r="G266" s="451" t="s">
        <v>406</v>
      </c>
      <c r="H266" s="452"/>
      <c r="I266" s="81"/>
      <c r="J266" s="82"/>
      <c r="K266" s="80">
        <f t="shared" ref="K266:K285" si="16">J266-I266</f>
        <v>0</v>
      </c>
      <c r="L266" s="60"/>
      <c r="M266" s="83" t="s">
        <v>407</v>
      </c>
      <c r="N266" s="230"/>
      <c r="O266" s="84"/>
    </row>
    <row r="267" spans="1:15">
      <c r="A267" s="85" t="s">
        <v>408</v>
      </c>
      <c r="B267" s="85"/>
      <c r="C267" s="86" t="s">
        <v>409</v>
      </c>
      <c r="D267" s="87"/>
      <c r="E267" s="88"/>
      <c r="F267" s="89">
        <f t="shared" si="15"/>
        <v>0</v>
      </c>
      <c r="G267" s="439" t="s">
        <v>410</v>
      </c>
      <c r="H267" s="440"/>
      <c r="I267" s="90">
        <v>298</v>
      </c>
      <c r="J267" s="91">
        <v>285</v>
      </c>
      <c r="K267" s="92">
        <f t="shared" si="16"/>
        <v>-13</v>
      </c>
      <c r="L267" s="60"/>
      <c r="M267" s="93" t="s">
        <v>411</v>
      </c>
      <c r="N267" s="231"/>
      <c r="O267" s="94">
        <f>+E299</f>
        <v>15</v>
      </c>
    </row>
    <row r="268" spans="1:15">
      <c r="A268" s="95">
        <f>IFERROR(D289/D268,"")</f>
        <v>0</v>
      </c>
      <c r="B268" s="95">
        <f>IFERROR(E289/E268,"")</f>
        <v>6.8055555555555554</v>
      </c>
      <c r="C268" s="86" t="s">
        <v>412</v>
      </c>
      <c r="D268" s="87">
        <v>339</v>
      </c>
      <c r="E268" s="88">
        <v>360</v>
      </c>
      <c r="F268" s="89">
        <f t="shared" si="15"/>
        <v>21</v>
      </c>
      <c r="G268" s="439" t="s">
        <v>413</v>
      </c>
      <c r="H268" s="440"/>
      <c r="I268" s="90">
        <v>198</v>
      </c>
      <c r="J268" s="96">
        <v>210</v>
      </c>
      <c r="K268" s="92">
        <f t="shared" si="16"/>
        <v>12</v>
      </c>
      <c r="L268" s="60"/>
      <c r="M268" s="97" t="s">
        <v>414</v>
      </c>
      <c r="N268" s="232"/>
      <c r="O268" s="98"/>
    </row>
    <row r="269" spans="1:15">
      <c r="A269" s="99" t="s">
        <v>415</v>
      </c>
      <c r="B269" s="100"/>
      <c r="C269" s="86" t="s">
        <v>416</v>
      </c>
      <c r="D269" s="87">
        <v>10</v>
      </c>
      <c r="E269" s="88">
        <v>10</v>
      </c>
      <c r="F269" s="89">
        <f t="shared" si="15"/>
        <v>0</v>
      </c>
      <c r="G269" s="439" t="s">
        <v>417</v>
      </c>
      <c r="H269" s="440"/>
      <c r="I269" s="90"/>
      <c r="J269" s="96"/>
      <c r="K269" s="92">
        <f t="shared" si="16"/>
        <v>0</v>
      </c>
      <c r="L269" s="60"/>
      <c r="M269" s="97" t="s">
        <v>418</v>
      </c>
      <c r="N269" s="232"/>
      <c r="O269" s="98">
        <f>+E305</f>
        <v>22</v>
      </c>
    </row>
    <row r="270" spans="1:15">
      <c r="A270" s="101">
        <f>IFERROR(D289/D270,"")</f>
        <v>0</v>
      </c>
      <c r="B270" s="102">
        <f>IFERROR(E289/E270,"")</f>
        <v>6.6576086956521738</v>
      </c>
      <c r="C270" s="86" t="s">
        <v>419</v>
      </c>
      <c r="D270" s="87">
        <v>377</v>
      </c>
      <c r="E270" s="88">
        <v>368</v>
      </c>
      <c r="F270" s="89">
        <f t="shared" si="15"/>
        <v>-9</v>
      </c>
      <c r="G270" s="439" t="s">
        <v>539</v>
      </c>
      <c r="H270" s="440"/>
      <c r="I270" s="90">
        <v>2</v>
      </c>
      <c r="J270" s="96">
        <v>4</v>
      </c>
      <c r="K270" s="92">
        <f t="shared" si="16"/>
        <v>2</v>
      </c>
      <c r="L270" s="60"/>
      <c r="M270" s="103" t="s">
        <v>421</v>
      </c>
      <c r="N270" s="233"/>
      <c r="O270" s="104">
        <v>0</v>
      </c>
    </row>
    <row r="271" spans="1:15" ht="16.8" thickBot="1">
      <c r="A271" s="59"/>
      <c r="B271" s="59"/>
      <c r="C271" s="86" t="s">
        <v>422</v>
      </c>
      <c r="D271" s="87"/>
      <c r="E271" s="88"/>
      <c r="F271" s="89">
        <f t="shared" si="15"/>
        <v>0</v>
      </c>
      <c r="G271" s="441" t="s">
        <v>423</v>
      </c>
      <c r="H271" s="442"/>
      <c r="I271" s="105">
        <v>80</v>
      </c>
      <c r="J271" s="106">
        <v>80</v>
      </c>
      <c r="K271" s="107">
        <f t="shared" si="16"/>
        <v>0</v>
      </c>
      <c r="L271" s="60"/>
      <c r="M271" s="103" t="s">
        <v>424</v>
      </c>
      <c r="N271" s="233"/>
      <c r="O271" s="104">
        <f>+E298-E297</f>
        <v>0</v>
      </c>
    </row>
    <row r="272" spans="1:15" ht="16.8" thickBot="1">
      <c r="A272" s="108"/>
      <c r="B272" s="59"/>
      <c r="C272" s="86" t="s">
        <v>425</v>
      </c>
      <c r="D272" s="87">
        <v>2</v>
      </c>
      <c r="E272" s="88">
        <v>2</v>
      </c>
      <c r="F272" s="89">
        <f t="shared" si="15"/>
        <v>0</v>
      </c>
      <c r="G272" s="443" t="s">
        <v>426</v>
      </c>
      <c r="H272" s="444"/>
      <c r="I272" s="109">
        <f>SUM(I266:I271)</f>
        <v>578</v>
      </c>
      <c r="J272" s="110">
        <f>SUM(J266:J271)</f>
        <v>579</v>
      </c>
      <c r="K272" s="111">
        <f t="shared" si="16"/>
        <v>1</v>
      </c>
      <c r="L272" s="60"/>
      <c r="M272" s="103" t="s">
        <v>427</v>
      </c>
      <c r="N272" s="233"/>
      <c r="O272" s="104">
        <f>-E294</f>
        <v>-5</v>
      </c>
    </row>
    <row r="273" spans="1:15" ht="16.8" thickBot="1">
      <c r="A273" s="112" t="s">
        <v>428</v>
      </c>
      <c r="B273" s="113"/>
      <c r="C273" s="114" t="s">
        <v>429</v>
      </c>
      <c r="D273" s="115">
        <v>-3</v>
      </c>
      <c r="E273" s="116">
        <v>-3</v>
      </c>
      <c r="F273" s="117">
        <f t="shared" si="15"/>
        <v>0</v>
      </c>
      <c r="G273" s="451" t="s">
        <v>430</v>
      </c>
      <c r="H273" s="452"/>
      <c r="I273" s="81">
        <v>350</v>
      </c>
      <c r="J273" s="82">
        <v>368</v>
      </c>
      <c r="K273" s="118">
        <f t="shared" si="16"/>
        <v>18</v>
      </c>
      <c r="L273" s="60"/>
      <c r="M273" s="119" t="s">
        <v>431</v>
      </c>
      <c r="N273" s="234"/>
      <c r="O273" s="120">
        <f>+E295</f>
        <v>40</v>
      </c>
    </row>
    <row r="274" spans="1:15" ht="16.8" thickBot="1">
      <c r="A274" s="121">
        <f>+D274/I272</f>
        <v>1.472318339100346</v>
      </c>
      <c r="B274" s="121">
        <f>+E274/J272</f>
        <v>1.5544041450777202</v>
      </c>
      <c r="C274" s="69" t="s">
        <v>432</v>
      </c>
      <c r="D274" s="122">
        <f>SUM(D266:D273)</f>
        <v>851</v>
      </c>
      <c r="E274" s="122">
        <f>SUM(E266:E273)</f>
        <v>900</v>
      </c>
      <c r="F274" s="123">
        <f t="shared" si="15"/>
        <v>49</v>
      </c>
      <c r="G274" s="439" t="s">
        <v>433</v>
      </c>
      <c r="H274" s="440"/>
      <c r="I274" s="90"/>
      <c r="J274" s="96"/>
      <c r="K274" s="92">
        <f t="shared" si="16"/>
        <v>0</v>
      </c>
      <c r="L274" s="60"/>
      <c r="M274" s="97" t="s">
        <v>434</v>
      </c>
      <c r="N274" s="232"/>
      <c r="O274" s="94"/>
    </row>
    <row r="275" spans="1:15">
      <c r="A275" s="99" t="s">
        <v>435</v>
      </c>
      <c r="B275" s="100"/>
      <c r="C275" s="77" t="s">
        <v>436</v>
      </c>
      <c r="D275" s="124">
        <v>162</v>
      </c>
      <c r="E275" s="79">
        <v>162</v>
      </c>
      <c r="F275" s="80">
        <f t="shared" si="15"/>
        <v>0</v>
      </c>
      <c r="G275" s="439" t="s">
        <v>420</v>
      </c>
      <c r="H275" s="440"/>
      <c r="I275" s="90"/>
      <c r="J275" s="96"/>
      <c r="K275" s="92">
        <f t="shared" si="16"/>
        <v>0</v>
      </c>
      <c r="L275" s="60"/>
      <c r="M275" s="97" t="s">
        <v>437</v>
      </c>
      <c r="N275" s="97"/>
      <c r="O275" s="125">
        <f>-F267</f>
        <v>0</v>
      </c>
    </row>
    <row r="276" spans="1:15" ht="16.8" thickBot="1">
      <c r="A276" s="101">
        <f>IFERROR(D289/SUM(D275:D276),"")</f>
        <v>0</v>
      </c>
      <c r="B276" s="101">
        <f>IFERROR(E289/SUM(E275:E276),"")</f>
        <v>6.7867036011080328</v>
      </c>
      <c r="C276" s="86" t="s">
        <v>438</v>
      </c>
      <c r="D276" s="126">
        <f>689-468</f>
        <v>221</v>
      </c>
      <c r="E276" s="88">
        <f>689-490</f>
        <v>199</v>
      </c>
      <c r="F276" s="89">
        <f t="shared" si="15"/>
        <v>-22</v>
      </c>
      <c r="G276" s="441" t="s">
        <v>439</v>
      </c>
      <c r="H276" s="442"/>
      <c r="I276" s="105">
        <v>24</v>
      </c>
      <c r="J276" s="106">
        <v>22</v>
      </c>
      <c r="K276" s="107">
        <f t="shared" si="16"/>
        <v>-2</v>
      </c>
      <c r="L276" s="60"/>
      <c r="M276" s="103" t="s">
        <v>440</v>
      </c>
      <c r="N276" s="234"/>
      <c r="O276" s="127">
        <f>-F268</f>
        <v>-21</v>
      </c>
    </row>
    <row r="277" spans="1:15" ht="16.8" thickBot="1">
      <c r="A277" s="59"/>
      <c r="B277" s="59"/>
      <c r="C277" s="86" t="s">
        <v>441</v>
      </c>
      <c r="D277" s="126"/>
      <c r="E277" s="88"/>
      <c r="F277" s="89">
        <f t="shared" si="15"/>
        <v>0</v>
      </c>
      <c r="G277" s="443" t="s">
        <v>442</v>
      </c>
      <c r="H277" s="444"/>
      <c r="I277" s="109">
        <f>SUM(I273:I276)</f>
        <v>374</v>
      </c>
      <c r="J277" s="110">
        <f>SUM(J273:J276)</f>
        <v>390</v>
      </c>
      <c r="K277" s="111">
        <f t="shared" si="16"/>
        <v>16</v>
      </c>
      <c r="L277" s="60"/>
      <c r="M277" s="103" t="s">
        <v>443</v>
      </c>
      <c r="N277" s="233"/>
      <c r="O277" s="104">
        <f>-F270</f>
        <v>9</v>
      </c>
    </row>
    <row r="278" spans="1:15" ht="16.8" thickBot="1">
      <c r="A278" s="59"/>
      <c r="B278" s="59"/>
      <c r="C278" s="86" t="s">
        <v>444</v>
      </c>
      <c r="D278" s="126"/>
      <c r="E278" s="88"/>
      <c r="F278" s="89">
        <f t="shared" si="15"/>
        <v>0</v>
      </c>
      <c r="G278" s="443" t="s">
        <v>445</v>
      </c>
      <c r="H278" s="444"/>
      <c r="I278" s="109">
        <f>I272+I277</f>
        <v>952</v>
      </c>
      <c r="J278" s="110">
        <f>J272+J277</f>
        <v>969</v>
      </c>
      <c r="K278" s="111">
        <f t="shared" si="16"/>
        <v>17</v>
      </c>
      <c r="L278" s="60"/>
      <c r="M278" s="103" t="s">
        <v>446</v>
      </c>
      <c r="N278" s="233"/>
      <c r="O278" s="104">
        <f>-F272</f>
        <v>0</v>
      </c>
    </row>
    <row r="279" spans="1:15">
      <c r="A279" s="59"/>
      <c r="B279" s="59"/>
      <c r="C279" s="86" t="s">
        <v>447</v>
      </c>
      <c r="D279" s="126">
        <v>42</v>
      </c>
      <c r="E279" s="88">
        <v>41</v>
      </c>
      <c r="F279" s="89">
        <f t="shared" si="15"/>
        <v>-1</v>
      </c>
      <c r="G279" s="451" t="s">
        <v>448</v>
      </c>
      <c r="H279" s="452"/>
      <c r="I279" s="81">
        <v>13</v>
      </c>
      <c r="J279" s="82">
        <v>13</v>
      </c>
      <c r="K279" s="118">
        <f t="shared" si="16"/>
        <v>0</v>
      </c>
      <c r="L279" s="60"/>
      <c r="M279" s="103" t="s">
        <v>449</v>
      </c>
      <c r="N279" s="233"/>
      <c r="O279" s="104">
        <f>+K266</f>
        <v>0</v>
      </c>
    </row>
    <row r="280" spans="1:15">
      <c r="A280" s="59"/>
      <c r="B280" s="59"/>
      <c r="C280" s="86" t="s">
        <v>450</v>
      </c>
      <c r="D280" s="126"/>
      <c r="E280" s="88"/>
      <c r="F280" s="89">
        <f t="shared" si="15"/>
        <v>0</v>
      </c>
      <c r="G280" s="439" t="s">
        <v>451</v>
      </c>
      <c r="H280" s="440"/>
      <c r="I280" s="90">
        <v>3</v>
      </c>
      <c r="J280" s="96">
        <v>3</v>
      </c>
      <c r="K280" s="92">
        <f t="shared" si="16"/>
        <v>0</v>
      </c>
      <c r="L280" s="60"/>
      <c r="M280" s="103" t="s">
        <v>452</v>
      </c>
      <c r="N280" s="233"/>
      <c r="O280" s="104">
        <f>+K267</f>
        <v>-13</v>
      </c>
    </row>
    <row r="281" spans="1:15">
      <c r="A281" s="59"/>
      <c r="B281" s="59"/>
      <c r="C281" s="86" t="s">
        <v>453</v>
      </c>
      <c r="D281" s="126"/>
      <c r="E281" s="88"/>
      <c r="F281" s="89">
        <f t="shared" si="15"/>
        <v>0</v>
      </c>
      <c r="G281" s="439" t="s">
        <v>454</v>
      </c>
      <c r="H281" s="440"/>
      <c r="I281" s="90">
        <v>8</v>
      </c>
      <c r="J281" s="96">
        <v>17</v>
      </c>
      <c r="K281" s="92">
        <f t="shared" si="16"/>
        <v>9</v>
      </c>
      <c r="L281" s="60"/>
      <c r="M281" s="103" t="s">
        <v>455</v>
      </c>
      <c r="N281" s="233"/>
      <c r="O281" s="104">
        <f>+K269</f>
        <v>0</v>
      </c>
    </row>
    <row r="282" spans="1:15" ht="16.8" thickBot="1">
      <c r="A282" s="59"/>
      <c r="B282" s="59"/>
      <c r="C282" s="114" t="s">
        <v>456</v>
      </c>
      <c r="D282" s="128"/>
      <c r="E282" s="116"/>
      <c r="F282" s="117">
        <f t="shared" si="15"/>
        <v>0</v>
      </c>
      <c r="G282" s="439" t="s">
        <v>457</v>
      </c>
      <c r="H282" s="440"/>
      <c r="I282" s="90"/>
      <c r="J282" s="96"/>
      <c r="K282" s="92">
        <f t="shared" si="16"/>
        <v>0</v>
      </c>
      <c r="L282" s="60"/>
      <c r="M282" s="103" t="s">
        <v>458</v>
      </c>
      <c r="N282" s="233"/>
      <c r="O282" s="104">
        <f>+K271</f>
        <v>0</v>
      </c>
    </row>
    <row r="283" spans="1:15" ht="16.8" thickBot="1">
      <c r="A283" s="59"/>
      <c r="B283" s="59"/>
      <c r="C283" s="69" t="s">
        <v>459</v>
      </c>
      <c r="D283" s="129">
        <f>SUM(D275:D282)</f>
        <v>425</v>
      </c>
      <c r="E283" s="122">
        <f>SUM(E275:E282)</f>
        <v>402</v>
      </c>
      <c r="F283" s="123">
        <f t="shared" si="15"/>
        <v>-23</v>
      </c>
      <c r="G283" s="441" t="s">
        <v>460</v>
      </c>
      <c r="H283" s="442"/>
      <c r="I283" s="105">
        <v>300</v>
      </c>
      <c r="J283" s="106">
        <v>300</v>
      </c>
      <c r="K283" s="107">
        <f t="shared" si="16"/>
        <v>0</v>
      </c>
      <c r="L283" s="60"/>
      <c r="M283" s="103" t="s">
        <v>461</v>
      </c>
      <c r="N283" s="233"/>
      <c r="O283" s="104">
        <f>+K276</f>
        <v>-2</v>
      </c>
    </row>
    <row r="284" spans="1:15" ht="16.8" thickBot="1">
      <c r="A284" s="85" t="s">
        <v>462</v>
      </c>
      <c r="B284" s="85"/>
      <c r="C284" s="130" t="s">
        <v>463</v>
      </c>
      <c r="D284" s="131"/>
      <c r="E284" s="132"/>
      <c r="F284" s="133">
        <f t="shared" si="15"/>
        <v>0</v>
      </c>
      <c r="G284" s="443" t="s">
        <v>464</v>
      </c>
      <c r="H284" s="444"/>
      <c r="I284" s="109">
        <f>SUM(I279:I283)</f>
        <v>324</v>
      </c>
      <c r="J284" s="110">
        <f>SUM(J279:J283)</f>
        <v>333</v>
      </c>
      <c r="K284" s="111">
        <f t="shared" si="16"/>
        <v>9</v>
      </c>
      <c r="L284" s="60"/>
      <c r="M284" s="134"/>
      <c r="N284" s="235"/>
      <c r="O284" s="120"/>
    </row>
    <row r="285" spans="1:15" ht="16.8" thickBot="1">
      <c r="A285" s="95">
        <f>IFERROR(D289/D285,"")</f>
        <v>0</v>
      </c>
      <c r="B285" s="95">
        <f>IFERROR(E289/E285,"")</f>
        <v>1.881720430107527</v>
      </c>
      <c r="C285" s="69" t="s">
        <v>465</v>
      </c>
      <c r="D285" s="122">
        <f>D274+D283+D284</f>
        <v>1276</v>
      </c>
      <c r="E285" s="122">
        <f>E274+E283+E284</f>
        <v>1302</v>
      </c>
      <c r="F285" s="123">
        <f t="shared" si="15"/>
        <v>26</v>
      </c>
      <c r="G285" s="443" t="s">
        <v>466</v>
      </c>
      <c r="H285" s="444"/>
      <c r="I285" s="109">
        <f>I278+I284</f>
        <v>1276</v>
      </c>
      <c r="J285" s="110">
        <f>J278+J284</f>
        <v>1302</v>
      </c>
      <c r="K285" s="111">
        <f t="shared" si="16"/>
        <v>26</v>
      </c>
      <c r="L285" s="60"/>
      <c r="M285" s="135" t="s">
        <v>467</v>
      </c>
      <c r="N285" s="236"/>
      <c r="O285" s="136">
        <f>SUM(O267:O284)</f>
        <v>45</v>
      </c>
    </row>
    <row r="286" spans="1:15">
      <c r="A286" s="59"/>
      <c r="B286" s="59"/>
      <c r="C286" s="137" t="s">
        <v>468</v>
      </c>
      <c r="D286" s="138"/>
      <c r="E286" s="63"/>
      <c r="F286" s="63"/>
      <c r="G286" s="63"/>
      <c r="H286" s="139" t="s">
        <v>469</v>
      </c>
      <c r="I286" s="140">
        <f>+I284/I285</f>
        <v>0.25391849529780564</v>
      </c>
      <c r="J286" s="140">
        <f>+J284/J285</f>
        <v>0.25576036866359447</v>
      </c>
      <c r="K286" s="63" t="s">
        <v>470</v>
      </c>
      <c r="L286" s="60"/>
      <c r="M286" s="141" t="s">
        <v>540</v>
      </c>
      <c r="N286" s="237"/>
      <c r="O286" s="142">
        <f>+E294</f>
        <v>5</v>
      </c>
    </row>
    <row r="287" spans="1:15" ht="16.8" thickBot="1">
      <c r="A287" s="59"/>
      <c r="B287" s="59"/>
      <c r="C287" s="143" t="s">
        <v>472</v>
      </c>
      <c r="D287" s="68"/>
      <c r="E287" s="144"/>
      <c r="F287" s="68" t="s">
        <v>396</v>
      </c>
      <c r="G287" s="453" t="s">
        <v>473</v>
      </c>
      <c r="H287" s="145"/>
      <c r="I287" s="63"/>
      <c r="J287" s="63"/>
      <c r="K287" s="66"/>
      <c r="L287" s="60"/>
      <c r="M287" s="141" t="s">
        <v>471</v>
      </c>
      <c r="N287" s="237"/>
      <c r="O287" s="142">
        <f>-E306+G294</f>
        <v>-40</v>
      </c>
    </row>
    <row r="288" spans="1:15" ht="16.8" thickBot="1">
      <c r="A288" s="59"/>
      <c r="B288" s="59"/>
      <c r="C288" s="69" t="s">
        <v>399</v>
      </c>
      <c r="D288" s="70" t="str">
        <f>+D265</f>
        <v>前期</v>
      </c>
      <c r="E288" s="71" t="str">
        <f>+E265</f>
        <v>当期</v>
      </c>
      <c r="F288" s="74" t="s">
        <v>402</v>
      </c>
      <c r="G288" s="453"/>
      <c r="H288" s="63"/>
      <c r="I288" s="63"/>
      <c r="J288" s="63"/>
      <c r="K288" s="63"/>
      <c r="L288" s="60"/>
      <c r="M288" s="141" t="s">
        <v>474</v>
      </c>
      <c r="N288" s="237"/>
      <c r="O288" s="248">
        <f>-E300-I270+J270</f>
        <v>-4</v>
      </c>
    </row>
    <row r="289" spans="1:15" ht="16.8" thickBot="1">
      <c r="A289" s="59"/>
      <c r="B289" s="59"/>
      <c r="C289" s="148" t="s">
        <v>475</v>
      </c>
      <c r="D289" s="124"/>
      <c r="E289" s="149">
        <v>2450</v>
      </c>
      <c r="F289" s="150">
        <f t="shared" ref="F289:F301" si="17">E289-D289</f>
        <v>2450</v>
      </c>
      <c r="G289" s="151" t="e">
        <f>+E289/D289</f>
        <v>#DIV/0!</v>
      </c>
      <c r="H289" s="63"/>
      <c r="I289" s="63"/>
      <c r="J289" s="63"/>
      <c r="K289" s="63"/>
      <c r="L289" s="60"/>
      <c r="M289" s="146"/>
      <c r="N289" s="238"/>
      <c r="O289" s="147">
        <f>+SUM(O285:O288)</f>
        <v>6</v>
      </c>
    </row>
    <row r="290" spans="1:15" ht="16.8" thickBot="1">
      <c r="A290" s="59"/>
      <c r="B290" s="59"/>
      <c r="C290" s="154" t="s">
        <v>477</v>
      </c>
      <c r="D290" s="128"/>
      <c r="E290" s="155">
        <v>1972</v>
      </c>
      <c r="F290" s="156">
        <f t="shared" si="17"/>
        <v>1972</v>
      </c>
      <c r="G290" s="157"/>
      <c r="H290" s="63"/>
      <c r="I290" s="63"/>
      <c r="J290" s="63"/>
      <c r="K290" s="63"/>
      <c r="L290" s="60"/>
      <c r="M290" s="152" t="s">
        <v>476</v>
      </c>
      <c r="N290" s="239"/>
      <c r="O290" s="153"/>
    </row>
    <row r="291" spans="1:15" ht="16.8" thickBot="1">
      <c r="A291" s="59"/>
      <c r="B291" s="59"/>
      <c r="C291" s="69" t="s">
        <v>479</v>
      </c>
      <c r="D291" s="122">
        <f>D289-D290</f>
        <v>0</v>
      </c>
      <c r="E291" s="158">
        <f>E289-E290</f>
        <v>478</v>
      </c>
      <c r="F291" s="159">
        <f t="shared" si="17"/>
        <v>478</v>
      </c>
      <c r="G291" s="160" t="e">
        <f>+E291/D291</f>
        <v>#DIV/0!</v>
      </c>
      <c r="H291" s="63"/>
      <c r="I291" s="63"/>
      <c r="J291" s="63"/>
      <c r="K291" s="63"/>
      <c r="L291" s="60"/>
      <c r="M291" s="97" t="s">
        <v>478</v>
      </c>
      <c r="N291" s="232"/>
      <c r="O291" s="98">
        <f>-F269</f>
        <v>0</v>
      </c>
    </row>
    <row r="292" spans="1:15" ht="16.8" thickBot="1">
      <c r="A292" s="59"/>
      <c r="B292" s="108"/>
      <c r="C292" s="161" t="s">
        <v>481</v>
      </c>
      <c r="D292" s="132"/>
      <c r="E292" s="162">
        <v>428</v>
      </c>
      <c r="F292" s="163">
        <f t="shared" si="17"/>
        <v>428</v>
      </c>
      <c r="G292" s="157"/>
      <c r="H292" s="63"/>
      <c r="I292" s="63"/>
      <c r="J292" s="63"/>
      <c r="K292" s="63"/>
      <c r="L292" s="60"/>
      <c r="M292" s="103" t="s">
        <v>480</v>
      </c>
      <c r="N292" s="233"/>
      <c r="O292" s="104">
        <f>-F271</f>
        <v>0</v>
      </c>
    </row>
    <row r="293" spans="1:15" ht="16.8" thickBot="1">
      <c r="A293" s="59"/>
      <c r="B293" s="59"/>
      <c r="C293" s="69" t="s">
        <v>483</v>
      </c>
      <c r="D293" s="122">
        <f>D291-D292</f>
        <v>0</v>
      </c>
      <c r="E293" s="158">
        <f>E291-E292</f>
        <v>50</v>
      </c>
      <c r="F293" s="159">
        <f t="shared" si="17"/>
        <v>50</v>
      </c>
      <c r="G293" s="160" t="e">
        <f>+E293/D293</f>
        <v>#DIV/0!</v>
      </c>
      <c r="H293" s="164">
        <f>+E293/E289</f>
        <v>2.0408163265306121E-2</v>
      </c>
      <c r="I293" s="63"/>
      <c r="J293" s="63"/>
      <c r="K293" s="63"/>
      <c r="L293" s="60"/>
      <c r="M293" s="119" t="s">
        <v>482</v>
      </c>
      <c r="N293" s="234"/>
      <c r="O293" s="127">
        <f>-F275</f>
        <v>0</v>
      </c>
    </row>
    <row r="294" spans="1:15">
      <c r="A294" s="59"/>
      <c r="B294" s="59"/>
      <c r="C294" s="165" t="s">
        <v>485</v>
      </c>
      <c r="D294" s="124"/>
      <c r="E294" s="166">
        <v>5</v>
      </c>
      <c r="F294" s="150">
        <f t="shared" si="17"/>
        <v>5</v>
      </c>
      <c r="G294" s="157"/>
      <c r="H294" s="63"/>
      <c r="I294" s="63"/>
      <c r="J294" s="63"/>
      <c r="K294" s="63"/>
      <c r="L294" s="60"/>
      <c r="M294" s="103" t="s">
        <v>484</v>
      </c>
      <c r="N294" s="233"/>
      <c r="O294" s="104">
        <f>-F276-E305-F298</f>
        <v>0</v>
      </c>
    </row>
    <row r="295" spans="1:15" ht="16.8" thickBot="1">
      <c r="A295" s="59"/>
      <c r="B295" s="59"/>
      <c r="C295" s="167" t="s">
        <v>487</v>
      </c>
      <c r="D295" s="128"/>
      <c r="E295" s="155">
        <v>40</v>
      </c>
      <c r="F295" s="156">
        <f t="shared" si="17"/>
        <v>40</v>
      </c>
      <c r="G295" s="157"/>
      <c r="H295" s="63"/>
      <c r="I295" s="63"/>
      <c r="J295" s="63"/>
      <c r="K295" s="63"/>
      <c r="L295" s="60"/>
      <c r="M295" s="103" t="s">
        <v>486</v>
      </c>
      <c r="N295" s="233"/>
      <c r="O295" s="104">
        <f>-F277</f>
        <v>0</v>
      </c>
    </row>
    <row r="296" spans="1:15" ht="16.8" thickBot="1">
      <c r="A296" s="59"/>
      <c r="B296" s="59"/>
      <c r="C296" s="69" t="s">
        <v>489</v>
      </c>
      <c r="D296" s="122">
        <f>D293+D294-D295</f>
        <v>0</v>
      </c>
      <c r="E296" s="158">
        <f>E293+E294-E295</f>
        <v>15</v>
      </c>
      <c r="F296" s="159">
        <f t="shared" si="17"/>
        <v>15</v>
      </c>
      <c r="G296" s="160" t="e">
        <f>+E296/D296</f>
        <v>#DIV/0!</v>
      </c>
      <c r="H296" s="168"/>
      <c r="I296" s="63"/>
      <c r="J296" s="63"/>
      <c r="K296" s="63"/>
      <c r="L296" s="60"/>
      <c r="M296" s="103" t="s">
        <v>488</v>
      </c>
      <c r="N296" s="233"/>
      <c r="O296" s="104">
        <f>-F278</f>
        <v>0</v>
      </c>
    </row>
    <row r="297" spans="1:15">
      <c r="A297" s="59"/>
      <c r="B297" s="59"/>
      <c r="C297" s="169" t="s">
        <v>491</v>
      </c>
      <c r="D297" s="124"/>
      <c r="E297" s="166"/>
      <c r="F297" s="150">
        <f t="shared" si="17"/>
        <v>0</v>
      </c>
      <c r="G297" s="170" t="s">
        <v>492</v>
      </c>
      <c r="H297" s="170"/>
      <c r="I297" s="63"/>
      <c r="J297" s="63"/>
      <c r="K297" s="63"/>
      <c r="L297" s="60"/>
      <c r="M297" s="103" t="s">
        <v>490</v>
      </c>
      <c r="N297" s="233"/>
      <c r="O297" s="104">
        <f>-F279</f>
        <v>1</v>
      </c>
    </row>
    <row r="298" spans="1:15" ht="16.8" thickBot="1">
      <c r="A298" s="59"/>
      <c r="B298" s="59"/>
      <c r="C298" s="171" t="s">
        <v>494</v>
      </c>
      <c r="D298" s="128"/>
      <c r="E298" s="155"/>
      <c r="F298" s="156">
        <f t="shared" si="17"/>
        <v>0</v>
      </c>
      <c r="G298" s="170" t="s">
        <v>492</v>
      </c>
      <c r="H298" s="170"/>
      <c r="I298" s="63"/>
      <c r="J298" s="63"/>
      <c r="K298" s="63"/>
      <c r="L298" s="60"/>
      <c r="M298" s="103" t="s">
        <v>493</v>
      </c>
      <c r="N298" s="233"/>
      <c r="O298" s="104">
        <f>-F280</f>
        <v>0</v>
      </c>
    </row>
    <row r="299" spans="1:15" ht="16.8" thickBot="1">
      <c r="A299" s="59"/>
      <c r="B299" s="59"/>
      <c r="C299" s="69" t="s">
        <v>496</v>
      </c>
      <c r="D299" s="122">
        <f>D296+D297-D298</f>
        <v>0</v>
      </c>
      <c r="E299" s="158">
        <f>E296+E297-E298</f>
        <v>15</v>
      </c>
      <c r="F299" s="159">
        <f t="shared" si="17"/>
        <v>15</v>
      </c>
      <c r="G299" s="170" t="s">
        <v>497</v>
      </c>
      <c r="H299" s="170"/>
      <c r="I299" s="63"/>
      <c r="J299" s="63"/>
      <c r="K299" s="63"/>
      <c r="L299" s="60"/>
      <c r="M299" s="103" t="s">
        <v>495</v>
      </c>
      <c r="N299" s="233"/>
      <c r="O299" s="172">
        <f>-F281</f>
        <v>0</v>
      </c>
    </row>
    <row r="300" spans="1:15" ht="16.8" thickBot="1">
      <c r="A300" s="59"/>
      <c r="B300" s="59"/>
      <c r="C300" s="173" t="s">
        <v>499</v>
      </c>
      <c r="D300" s="132"/>
      <c r="E300" s="162">
        <v>6</v>
      </c>
      <c r="F300" s="163">
        <f t="shared" si="17"/>
        <v>6</v>
      </c>
      <c r="G300" s="170" t="s">
        <v>492</v>
      </c>
      <c r="H300" s="170"/>
      <c r="I300" s="63"/>
      <c r="J300" s="63"/>
      <c r="K300" s="63"/>
      <c r="L300" s="60"/>
      <c r="M300" s="134" t="s">
        <v>498</v>
      </c>
      <c r="N300" s="235"/>
      <c r="O300" s="120">
        <f>-F284</f>
        <v>0</v>
      </c>
    </row>
    <row r="301" spans="1:15" ht="16.8" thickBot="1">
      <c r="A301" s="59"/>
      <c r="B301" s="59"/>
      <c r="C301" s="69" t="s">
        <v>501</v>
      </c>
      <c r="D301" s="122">
        <f>D299-D300</f>
        <v>0</v>
      </c>
      <c r="E301" s="176">
        <f>+E299-E300</f>
        <v>9</v>
      </c>
      <c r="F301" s="159">
        <f t="shared" si="17"/>
        <v>9</v>
      </c>
      <c r="G301" s="170" t="s">
        <v>492</v>
      </c>
      <c r="H301" s="170"/>
      <c r="I301" s="63"/>
      <c r="J301" s="63"/>
      <c r="K301" s="63"/>
      <c r="L301" s="60"/>
      <c r="M301" s="174" t="s">
        <v>500</v>
      </c>
      <c r="N301" s="240"/>
      <c r="O301" s="175">
        <f>SUM(O291:O300)</f>
        <v>1</v>
      </c>
    </row>
    <row r="302" spans="1:15">
      <c r="A302" s="59"/>
      <c r="B302" s="59"/>
      <c r="C302" s="179"/>
      <c r="D302" s="180"/>
      <c r="E302" s="180"/>
      <c r="F302" s="181"/>
      <c r="G302" s="170"/>
      <c r="H302" s="170"/>
      <c r="I302" s="63"/>
      <c r="J302" s="63"/>
      <c r="K302" s="63"/>
      <c r="L302" s="60"/>
      <c r="M302" s="177" t="s">
        <v>502</v>
      </c>
      <c r="N302" s="241"/>
      <c r="O302" s="178"/>
    </row>
    <row r="303" spans="1:15" ht="16.8" thickBot="1">
      <c r="A303" s="59"/>
      <c r="B303" s="59"/>
      <c r="C303" s="182" t="s">
        <v>504</v>
      </c>
      <c r="D303" s="183"/>
      <c r="E303" s="183"/>
      <c r="F303" s="68" t="s">
        <v>396</v>
      </c>
      <c r="G303" s="170"/>
      <c r="H303" s="170"/>
      <c r="I303" s="63"/>
      <c r="J303" s="63"/>
      <c r="K303" s="63"/>
      <c r="L303" s="60"/>
      <c r="M303" s="97" t="s">
        <v>503</v>
      </c>
      <c r="N303" s="232"/>
      <c r="O303" s="98">
        <f>+K268</f>
        <v>12</v>
      </c>
    </row>
    <row r="304" spans="1:15" ht="16.8" thickBot="1">
      <c r="A304" s="59"/>
      <c r="B304" s="59"/>
      <c r="C304" s="69" t="s">
        <v>399</v>
      </c>
      <c r="D304" s="70" t="s">
        <v>400</v>
      </c>
      <c r="E304" s="71" t="s">
        <v>401</v>
      </c>
      <c r="F304" s="74" t="s">
        <v>402</v>
      </c>
      <c r="G304" s="170"/>
      <c r="H304" s="170"/>
      <c r="I304" s="63"/>
      <c r="J304" s="63"/>
      <c r="K304" s="63"/>
      <c r="L304" s="60"/>
      <c r="M304" s="103" t="s">
        <v>505</v>
      </c>
      <c r="N304" s="233"/>
      <c r="O304" s="104">
        <f>+K273</f>
        <v>18</v>
      </c>
    </row>
    <row r="305" spans="1:16">
      <c r="A305" s="59"/>
      <c r="B305" s="59"/>
      <c r="C305" s="184" t="s">
        <v>507</v>
      </c>
      <c r="D305" s="185"/>
      <c r="E305" s="186">
        <v>22</v>
      </c>
      <c r="F305" s="187">
        <f>+E305-D305</f>
        <v>22</v>
      </c>
      <c r="G305" s="188"/>
      <c r="H305" s="188"/>
      <c r="I305" s="188"/>
      <c r="J305" s="188"/>
      <c r="K305" s="63"/>
      <c r="L305" s="60"/>
      <c r="M305" s="103" t="s">
        <v>506</v>
      </c>
      <c r="N305" s="233"/>
      <c r="O305" s="104">
        <f>+K274</f>
        <v>0</v>
      </c>
    </row>
    <row r="306" spans="1:16" ht="16.8" thickBot="1">
      <c r="A306" s="59"/>
      <c r="B306" s="59"/>
      <c r="C306" s="189" t="s">
        <v>509</v>
      </c>
      <c r="D306" s="190">
        <f>+D295</f>
        <v>0</v>
      </c>
      <c r="E306" s="191">
        <f>+E295</f>
        <v>40</v>
      </c>
      <c r="F306" s="192">
        <f>+E306-D306</f>
        <v>40</v>
      </c>
      <c r="G306" s="188"/>
      <c r="H306" s="188"/>
      <c r="I306" s="188"/>
      <c r="J306" s="188"/>
      <c r="K306" s="63"/>
      <c r="L306" s="60"/>
      <c r="M306" s="103" t="s">
        <v>508</v>
      </c>
      <c r="N306" s="233"/>
      <c r="O306" s="104">
        <f>+K279+K280</f>
        <v>0</v>
      </c>
    </row>
    <row r="307" spans="1:16">
      <c r="A307" s="59"/>
      <c r="B307" s="59"/>
      <c r="C307" s="59"/>
      <c r="D307" s="63"/>
      <c r="E307" s="63"/>
      <c r="F307" s="63"/>
      <c r="G307" s="63"/>
      <c r="H307" s="63"/>
      <c r="I307" s="63"/>
      <c r="J307" s="63"/>
      <c r="K307" s="63"/>
      <c r="L307" s="60"/>
      <c r="M307" s="103" t="s">
        <v>510</v>
      </c>
      <c r="N307" s="233"/>
      <c r="O307" s="104">
        <f>+K282</f>
        <v>0</v>
      </c>
    </row>
    <row r="308" spans="1:16" ht="16.8" thickBot="1">
      <c r="A308" s="59"/>
      <c r="B308" s="59"/>
      <c r="C308" s="59" t="s">
        <v>512</v>
      </c>
      <c r="D308" s="63"/>
      <c r="E308" s="63"/>
      <c r="F308" s="63"/>
      <c r="G308" s="63"/>
      <c r="H308" s="63"/>
      <c r="I308" s="63"/>
      <c r="J308" s="66"/>
      <c r="K308" s="66" t="s">
        <v>396</v>
      </c>
      <c r="L308" s="60"/>
      <c r="M308" s="134" t="s">
        <v>511</v>
      </c>
      <c r="N308" s="235"/>
      <c r="O308" s="120">
        <f>+G316</f>
        <v>0</v>
      </c>
    </row>
    <row r="309" spans="1:16" ht="16.8" thickBot="1">
      <c r="A309" s="59"/>
      <c r="B309" s="59"/>
      <c r="C309" s="454" t="s">
        <v>399</v>
      </c>
      <c r="D309" s="457" t="s">
        <v>514</v>
      </c>
      <c r="E309" s="457"/>
      <c r="F309" s="457"/>
      <c r="G309" s="457"/>
      <c r="H309" s="457"/>
      <c r="I309" s="458"/>
      <c r="J309" s="459" t="s">
        <v>460</v>
      </c>
      <c r="K309" s="462" t="s">
        <v>464</v>
      </c>
      <c r="L309" s="60"/>
      <c r="M309" s="193" t="s">
        <v>513</v>
      </c>
      <c r="N309" s="242"/>
      <c r="O309" s="194">
        <f>SUM(O303:O308)</f>
        <v>30</v>
      </c>
      <c r="P309" s="35" t="s">
        <v>536</v>
      </c>
    </row>
    <row r="310" spans="1:16">
      <c r="A310" s="59"/>
      <c r="B310" s="59"/>
      <c r="C310" s="455"/>
      <c r="D310" s="465" t="s">
        <v>448</v>
      </c>
      <c r="E310" s="465" t="s">
        <v>516</v>
      </c>
      <c r="F310" s="467" t="s">
        <v>517</v>
      </c>
      <c r="G310" s="468"/>
      <c r="H310" s="469" t="s">
        <v>457</v>
      </c>
      <c r="I310" s="460" t="s">
        <v>518</v>
      </c>
      <c r="J310" s="460"/>
      <c r="K310" s="463"/>
      <c r="L310" s="60"/>
      <c r="M310" s="195" t="s">
        <v>515</v>
      </c>
      <c r="N310" s="243"/>
      <c r="O310" s="196">
        <f>+SUM(O289,O301,O309)</f>
        <v>37</v>
      </c>
    </row>
    <row r="311" spans="1:16" ht="16.8" thickBot="1">
      <c r="A311" s="59"/>
      <c r="B311" s="59"/>
      <c r="C311" s="456"/>
      <c r="D311" s="466"/>
      <c r="E311" s="466"/>
      <c r="F311" s="199" t="s">
        <v>520</v>
      </c>
      <c r="G311" s="48" t="s">
        <v>521</v>
      </c>
      <c r="H311" s="461"/>
      <c r="I311" s="461"/>
      <c r="J311" s="461"/>
      <c r="K311" s="464"/>
      <c r="L311" s="60"/>
      <c r="M311" s="197" t="s">
        <v>519</v>
      </c>
      <c r="N311" s="244"/>
      <c r="O311" s="198">
        <f>+D266</f>
        <v>126</v>
      </c>
    </row>
    <row r="312" spans="1:16" ht="16.8" thickBot="1">
      <c r="A312" s="59"/>
      <c r="B312" s="59"/>
      <c r="C312" s="202" t="s">
        <v>523</v>
      </c>
      <c r="D312" s="203">
        <f>I279</f>
        <v>13</v>
      </c>
      <c r="E312" s="204">
        <f>I280</f>
        <v>3</v>
      </c>
      <c r="F312" s="205"/>
      <c r="G312" s="206"/>
      <c r="H312" s="207">
        <f>I282</f>
        <v>0</v>
      </c>
      <c r="I312" s="208">
        <f t="shared" ref="I312:I317" si="18">SUM(D312:H312)</f>
        <v>16</v>
      </c>
      <c r="J312" s="204">
        <f>I283</f>
        <v>300</v>
      </c>
      <c r="K312" s="187">
        <f>I312+J312</f>
        <v>316</v>
      </c>
      <c r="L312" s="60"/>
      <c r="M312" s="200" t="s">
        <v>522</v>
      </c>
      <c r="N312" s="245"/>
      <c r="O312" s="201">
        <f>+O310+O311</f>
        <v>163</v>
      </c>
    </row>
    <row r="313" spans="1:16" ht="16.8" thickBot="1">
      <c r="A313" s="59"/>
      <c r="B313" s="59"/>
      <c r="C313" s="211" t="s">
        <v>525</v>
      </c>
      <c r="D313" s="212"/>
      <c r="E313" s="213"/>
      <c r="F313" s="212"/>
      <c r="G313" s="213"/>
      <c r="H313" s="213"/>
      <c r="I313" s="214">
        <f t="shared" si="18"/>
        <v>0</v>
      </c>
      <c r="J313" s="213"/>
      <c r="K313" s="215">
        <f t="shared" ref="K313:K317" si="19">I313+J313</f>
        <v>0</v>
      </c>
      <c r="L313" s="60"/>
      <c r="M313" s="209" t="s">
        <v>524</v>
      </c>
      <c r="N313" s="246"/>
      <c r="O313" s="210">
        <f>+E266</f>
        <v>163</v>
      </c>
    </row>
    <row r="314" spans="1:16" ht="16.8" thickBot="1">
      <c r="A314" s="59"/>
      <c r="B314" s="59"/>
      <c r="C314" s="217" t="s">
        <v>526</v>
      </c>
      <c r="D314" s="212"/>
      <c r="E314" s="213"/>
      <c r="F314" s="218"/>
      <c r="G314" s="213">
        <f>F314*-1</f>
        <v>0</v>
      </c>
      <c r="H314" s="213"/>
      <c r="I314" s="219">
        <f t="shared" si="18"/>
        <v>0</v>
      </c>
      <c r="J314" s="213"/>
      <c r="K314" s="215">
        <f t="shared" si="19"/>
        <v>0</v>
      </c>
      <c r="L314" s="60"/>
      <c r="M314" s="63"/>
      <c r="N314" s="63"/>
      <c r="O314" s="216">
        <f>O312-O313</f>
        <v>0</v>
      </c>
    </row>
    <row r="315" spans="1:16" ht="16.8" thickTop="1">
      <c r="A315" s="59"/>
      <c r="B315" s="59"/>
      <c r="C315" s="211" t="s">
        <v>527</v>
      </c>
      <c r="D315" s="212"/>
      <c r="E315" s="213"/>
      <c r="F315" s="218"/>
      <c r="G315" s="213">
        <f>F315*-1</f>
        <v>0</v>
      </c>
      <c r="H315" s="213"/>
      <c r="I315" s="221">
        <f t="shared" si="18"/>
        <v>0</v>
      </c>
      <c r="J315" s="213"/>
      <c r="K315" s="215">
        <f t="shared" si="19"/>
        <v>0</v>
      </c>
      <c r="L315" s="60"/>
      <c r="M315" s="63"/>
      <c r="N315" s="63"/>
      <c r="O315" s="220"/>
    </row>
    <row r="316" spans="1:16">
      <c r="A316" s="59"/>
      <c r="B316" s="59"/>
      <c r="C316" s="211" t="s">
        <v>529</v>
      </c>
      <c r="D316" s="212"/>
      <c r="E316" s="213"/>
      <c r="F316" s="212"/>
      <c r="G316" s="91"/>
      <c r="H316" s="213"/>
      <c r="I316" s="221">
        <f t="shared" si="18"/>
        <v>0</v>
      </c>
      <c r="J316" s="213"/>
      <c r="K316" s="215">
        <f t="shared" si="19"/>
        <v>0</v>
      </c>
      <c r="L316" s="60"/>
      <c r="M316" s="222" t="s">
        <v>528</v>
      </c>
      <c r="N316" s="222"/>
      <c r="O316" s="63"/>
    </row>
    <row r="317" spans="1:16">
      <c r="A317" s="59"/>
      <c r="B317" s="59"/>
      <c r="C317" s="211" t="s">
        <v>530</v>
      </c>
      <c r="D317" s="212"/>
      <c r="E317" s="213"/>
      <c r="F317" s="212"/>
      <c r="G317" s="213">
        <f>E301</f>
        <v>9</v>
      </c>
      <c r="H317" s="213"/>
      <c r="I317" s="221">
        <f t="shared" si="18"/>
        <v>9</v>
      </c>
      <c r="J317" s="213"/>
      <c r="K317" s="215">
        <f t="shared" si="19"/>
        <v>9</v>
      </c>
      <c r="L317" s="60"/>
      <c r="M317" s="60"/>
      <c r="N317" s="60"/>
      <c r="O317" s="60"/>
    </row>
    <row r="318" spans="1:16">
      <c r="A318" s="59"/>
      <c r="B318" s="59"/>
      <c r="C318" s="217" t="s">
        <v>531</v>
      </c>
      <c r="D318" s="212"/>
      <c r="E318" s="213"/>
      <c r="F318" s="212"/>
      <c r="G318" s="213"/>
      <c r="H318" s="213">
        <f>H320</f>
        <v>0</v>
      </c>
      <c r="I318" s="221">
        <f>+H318</f>
        <v>0</v>
      </c>
      <c r="J318" s="213"/>
      <c r="K318" s="215">
        <f>+I318</f>
        <v>0</v>
      </c>
      <c r="L318" s="60"/>
      <c r="M318" s="60"/>
      <c r="N318" s="60"/>
      <c r="O318" s="60"/>
    </row>
    <row r="319" spans="1:16">
      <c r="A319" s="59"/>
      <c r="B319" s="59"/>
      <c r="C319" s="217" t="s">
        <v>532</v>
      </c>
      <c r="D319" s="212"/>
      <c r="E319" s="213"/>
      <c r="F319" s="218"/>
      <c r="G319" s="91"/>
      <c r="H319" s="213"/>
      <c r="I319" s="223">
        <f t="shared" ref="I319" si="20">SUM(D319:H319)</f>
        <v>0</v>
      </c>
      <c r="J319" s="213">
        <f>J320</f>
        <v>0</v>
      </c>
      <c r="K319" s="215">
        <f t="shared" ref="K319:K320" si="21">I319+J319</f>
        <v>0</v>
      </c>
      <c r="L319" s="60"/>
      <c r="M319" s="60"/>
      <c r="N319" s="60"/>
      <c r="O319" s="60"/>
    </row>
    <row r="320" spans="1:16">
      <c r="A320" s="59"/>
      <c r="B320" s="59"/>
      <c r="C320" s="211" t="s">
        <v>533</v>
      </c>
      <c r="D320" s="212">
        <f>K279</f>
        <v>0</v>
      </c>
      <c r="E320" s="213">
        <f>K280</f>
        <v>0</v>
      </c>
      <c r="F320" s="212">
        <f>SUM(F314:F319)</f>
        <v>0</v>
      </c>
      <c r="G320" s="213">
        <f>SUM(G314:G319)</f>
        <v>9</v>
      </c>
      <c r="H320" s="213">
        <f>K282</f>
        <v>0</v>
      </c>
      <c r="I320" s="224">
        <f>SUM(D320:H320)</f>
        <v>9</v>
      </c>
      <c r="J320" s="213">
        <f>K283</f>
        <v>0</v>
      </c>
      <c r="K320" s="215">
        <f t="shared" si="21"/>
        <v>9</v>
      </c>
      <c r="L320" s="60"/>
      <c r="M320" s="60"/>
      <c r="N320" s="60"/>
      <c r="O320" s="60"/>
    </row>
    <row r="321" spans="1:15" ht="16.8" thickBot="1">
      <c r="A321" s="59"/>
      <c r="B321" s="59"/>
      <c r="C321" s="225" t="s">
        <v>534</v>
      </c>
      <c r="D321" s="226">
        <f>D312+D320</f>
        <v>13</v>
      </c>
      <c r="E321" s="227">
        <f>E312+E320</f>
        <v>3</v>
      </c>
      <c r="F321" s="226">
        <f>F312+F320</f>
        <v>0</v>
      </c>
      <c r="G321" s="227">
        <f>G312+G320</f>
        <v>9</v>
      </c>
      <c r="H321" s="227">
        <f>+J282</f>
        <v>0</v>
      </c>
      <c r="I321" s="227">
        <f>I312+I320</f>
        <v>25</v>
      </c>
      <c r="J321" s="227">
        <f>+J283</f>
        <v>300</v>
      </c>
      <c r="K321" s="228">
        <f>K312+K320</f>
        <v>325</v>
      </c>
      <c r="L321" s="60"/>
      <c r="M321" s="60"/>
      <c r="N321" s="60"/>
      <c r="O321" s="60"/>
    </row>
    <row r="322" spans="1:15">
      <c r="M322" s="60"/>
      <c r="N322" s="60"/>
      <c r="O322" s="60"/>
    </row>
  </sheetData>
  <protectedRanges>
    <protectedRange sqref="D133:E133 I133:J133 D156:E156 D172:E172 D199:E199 I199:J199 D222:E222 D238:E238 D265:E265 I265:J265 D288:E288 D304:E304" name="範囲2"/>
    <protectedRange sqref="C134:E141 C143:E150 C152:E152 G134:J139 G141:J144 G147:J151 K132 F155 C157:E158 C160:E160 C162:E163 C165:E166 C168:E168 C173:E174 F180:G180 F182:F183 F171 F187:G187 K176 G184 C200:E207 C209:E216 C218:E218 G200:J205 G207:J210 G213:J217 K198 F221 C223:E224 C226:E226 C228:E229 C231:E232 C234:E234 C239:E240 F246:G246 F248:F249 F237 F253:G253 K242 G250 C266:E273 C275:E282 C284:E284 G266:J271 G273:J276 G279:J283 K264 F287 C289:E290 C292:E292 C294:E295 C297:E298 C300:E300 C305:E306 F312:G312 F314:F315 F303 F319:G319 K308 G316" name="範囲1"/>
    <protectedRange sqref="M131:N131 O132 M197:N197 O198 M263:N263 O264" name="範囲1_1"/>
  </protectedRanges>
  <mergeCells count="103">
    <mergeCell ref="I310:I311"/>
    <mergeCell ref="G285:H285"/>
    <mergeCell ref="G287:G288"/>
    <mergeCell ref="C309:C311"/>
    <mergeCell ref="D309:I309"/>
    <mergeCell ref="J309:J311"/>
    <mergeCell ref="K309:K311"/>
    <mergeCell ref="D310:D311"/>
    <mergeCell ref="E310:E311"/>
    <mergeCell ref="F310:G310"/>
    <mergeCell ref="H310:H311"/>
    <mergeCell ref="G279:H279"/>
    <mergeCell ref="G280:H280"/>
    <mergeCell ref="G281:H281"/>
    <mergeCell ref="G282:H282"/>
    <mergeCell ref="G283:H283"/>
    <mergeCell ref="G284:H284"/>
    <mergeCell ref="G273:H273"/>
    <mergeCell ref="G274:H274"/>
    <mergeCell ref="G275:H275"/>
    <mergeCell ref="G276:H276"/>
    <mergeCell ref="G277:H277"/>
    <mergeCell ref="G278:H278"/>
    <mergeCell ref="G267:H267"/>
    <mergeCell ref="G268:H268"/>
    <mergeCell ref="G269:H269"/>
    <mergeCell ref="G270:H270"/>
    <mergeCell ref="G271:H271"/>
    <mergeCell ref="G272:H272"/>
    <mergeCell ref="I244:I245"/>
    <mergeCell ref="C262:K262"/>
    <mergeCell ref="M262:O262"/>
    <mergeCell ref="M263:O263"/>
    <mergeCell ref="G265:H265"/>
    <mergeCell ref="G266:H266"/>
    <mergeCell ref="G219:H219"/>
    <mergeCell ref="G221:G222"/>
    <mergeCell ref="C243:C245"/>
    <mergeCell ref="D243:I243"/>
    <mergeCell ref="J243:J245"/>
    <mergeCell ref="K243:K245"/>
    <mergeCell ref="D244:D245"/>
    <mergeCell ref="E244:E245"/>
    <mergeCell ref="F244:G244"/>
    <mergeCell ref="H244:H245"/>
    <mergeCell ref="G213:H213"/>
    <mergeCell ref="G214:H214"/>
    <mergeCell ref="G215:H215"/>
    <mergeCell ref="G216:H216"/>
    <mergeCell ref="G217:H217"/>
    <mergeCell ref="G218:H218"/>
    <mergeCell ref="G207:H207"/>
    <mergeCell ref="G208:H208"/>
    <mergeCell ref="G209:H209"/>
    <mergeCell ref="G210:H210"/>
    <mergeCell ref="G211:H211"/>
    <mergeCell ref="G212:H212"/>
    <mergeCell ref="G201:H201"/>
    <mergeCell ref="G202:H202"/>
    <mergeCell ref="G203:H203"/>
    <mergeCell ref="G204:H204"/>
    <mergeCell ref="G205:H205"/>
    <mergeCell ref="G206:H206"/>
    <mergeCell ref="I178:I179"/>
    <mergeCell ref="C196:K196"/>
    <mergeCell ref="M196:O196"/>
    <mergeCell ref="M197:O197"/>
    <mergeCell ref="G199:H199"/>
    <mergeCell ref="G200:H200"/>
    <mergeCell ref="G153:H153"/>
    <mergeCell ref="G155:G156"/>
    <mergeCell ref="C177:C179"/>
    <mergeCell ref="D177:I177"/>
    <mergeCell ref="J177:J179"/>
    <mergeCell ref="K177:K179"/>
    <mergeCell ref="D178:D179"/>
    <mergeCell ref="E178:E179"/>
    <mergeCell ref="F178:G178"/>
    <mergeCell ref="H178:H179"/>
    <mergeCell ref="G147:H147"/>
    <mergeCell ref="G148:H148"/>
    <mergeCell ref="G149:H149"/>
    <mergeCell ref="G150:H150"/>
    <mergeCell ref="G151:H151"/>
    <mergeCell ref="G152:H152"/>
    <mergeCell ref="G141:H141"/>
    <mergeCell ref="G142:H142"/>
    <mergeCell ref="G143:H143"/>
    <mergeCell ref="G144:H144"/>
    <mergeCell ref="G145:H145"/>
    <mergeCell ref="G146:H146"/>
    <mergeCell ref="G135:H135"/>
    <mergeCell ref="G136:H136"/>
    <mergeCell ref="G137:H137"/>
    <mergeCell ref="G138:H138"/>
    <mergeCell ref="G139:H139"/>
    <mergeCell ref="G140:H140"/>
    <mergeCell ref="B65:B69"/>
    <mergeCell ref="C130:K130"/>
    <mergeCell ref="M130:O130"/>
    <mergeCell ref="M131:O131"/>
    <mergeCell ref="G133:H133"/>
    <mergeCell ref="G134:H134"/>
  </mergeCells>
  <phoneticPr fontId="12"/>
  <conditionalFormatting sqref="C52:XFD52 A52 A1:XFD51 A53:XFD60 C61:XFD61 B62:XFD62 A61:A62 A63:XFD65 A66:A69 C66:XFD69 A70:XFD110 A111:I111 K111:XFD111 A112:XFD1048576">
    <cfRule type="expression" dxfId="4" priority="1">
      <formula>+_xlfn.ISFORMULA(A1)</formula>
    </cfRule>
  </conditionalFormatting>
  <dataValidations disablePrompts="1" count="1">
    <dataValidation errorStyle="warning" allowBlank="1" showInputMessage="1" showErrorMessage="1" errorTitle="入力不可" error="このセルには入力できません。" sqref="D137 D203 D269" xr:uid="{037B08EE-C1D3-4A36-8E6F-40E0533FCB45}"/>
  </dataValidations>
  <pageMargins left="0.25" right="0.25" top="0.75" bottom="0.75" header="0.3" footer="0.3"/>
  <pageSetup paperSize="9" scale="66"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EE01E-02D4-4768-AFE6-3135C34716EA}">
  <dimension ref="A2:C24"/>
  <sheetViews>
    <sheetView workbookViewId="0">
      <selection activeCell="F16" sqref="F16"/>
    </sheetView>
  </sheetViews>
  <sheetFormatPr defaultRowHeight="16.2"/>
  <sheetData>
    <row r="2" spans="1:3">
      <c r="A2" s="23">
        <v>44747</v>
      </c>
      <c r="B2">
        <v>1</v>
      </c>
    </row>
    <row r="3" spans="1:3">
      <c r="A3" s="23">
        <v>44748</v>
      </c>
      <c r="B3">
        <v>0.5</v>
      </c>
    </row>
    <row r="4" spans="1:3">
      <c r="A4" s="23">
        <v>44749</v>
      </c>
    </row>
    <row r="5" spans="1:3">
      <c r="A5" s="23">
        <v>44750</v>
      </c>
    </row>
    <row r="6" spans="1:3">
      <c r="A6" s="23">
        <v>44751</v>
      </c>
    </row>
    <row r="7" spans="1:3">
      <c r="A7" s="23">
        <v>44752</v>
      </c>
    </row>
    <row r="8" spans="1:3">
      <c r="A8" s="23">
        <v>44753</v>
      </c>
    </row>
    <row r="9" spans="1:3">
      <c r="A9" s="23">
        <v>44754</v>
      </c>
      <c r="B9">
        <v>1.5</v>
      </c>
    </row>
    <row r="10" spans="1:3">
      <c r="A10" s="23">
        <v>44755</v>
      </c>
    </row>
    <row r="11" spans="1:3">
      <c r="A11" s="23">
        <v>44756</v>
      </c>
    </row>
    <row r="12" spans="1:3">
      <c r="A12" s="23">
        <v>44757</v>
      </c>
    </row>
    <row r="13" spans="1:3">
      <c r="A13" s="23">
        <v>44758</v>
      </c>
      <c r="B13">
        <v>6</v>
      </c>
      <c r="C13" t="s">
        <v>692</v>
      </c>
    </row>
    <row r="14" spans="1:3">
      <c r="A14" s="23">
        <v>44759</v>
      </c>
      <c r="B14">
        <v>3</v>
      </c>
      <c r="C14" t="s">
        <v>920</v>
      </c>
    </row>
    <row r="15" spans="1:3">
      <c r="A15" s="23">
        <v>44760</v>
      </c>
    </row>
    <row r="16" spans="1:3">
      <c r="A16" s="23">
        <v>44761</v>
      </c>
    </row>
    <row r="17" spans="1:1">
      <c r="A17" s="23">
        <v>44762</v>
      </c>
    </row>
    <row r="18" spans="1:1">
      <c r="A18" s="23">
        <v>44763</v>
      </c>
    </row>
    <row r="19" spans="1:1">
      <c r="A19" s="23">
        <v>44764</v>
      </c>
    </row>
    <row r="20" spans="1:1">
      <c r="A20" s="23">
        <v>44765</v>
      </c>
    </row>
    <row r="21" spans="1:1">
      <c r="A21" s="23">
        <v>44766</v>
      </c>
    </row>
    <row r="22" spans="1:1">
      <c r="A22" s="23">
        <v>44767</v>
      </c>
    </row>
    <row r="23" spans="1:1">
      <c r="A23" s="23">
        <v>44768</v>
      </c>
    </row>
    <row r="24" spans="1:1">
      <c r="A24" s="23">
        <v>44769</v>
      </c>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7</vt:i4>
      </vt:variant>
    </vt:vector>
  </HeadingPairs>
  <TitlesOfParts>
    <vt:vector size="7" baseType="lpstr">
      <vt:lpstr>1経営分析</vt:lpstr>
      <vt:lpstr>2CVP</vt:lpstr>
      <vt:lpstr>4業務的意思決定</vt:lpstr>
      <vt:lpstr>5NPV</vt:lpstr>
      <vt:lpstr>6企業価値他</vt:lpstr>
      <vt:lpstr>3CF計算書</vt:lpstr>
      <vt:lpstr>解答記録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2022-07-17T04:03:15Z</cp:lastPrinted>
  <dcterms:created xsi:type="dcterms:W3CDTF">2022-07-05T12:59:22Z</dcterms:created>
  <dcterms:modified xsi:type="dcterms:W3CDTF">2022-08-11T12:29:12Z</dcterms:modified>
</cp:coreProperties>
</file>