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filterPrivacy="1" defaultThemeVersion="166925"/>
  <bookViews>
    <workbookView xWindow="0" yWindow="15" windowWidth="10230" windowHeight="6555" tabRatio="829" xr2:uid="{00000000-000D-0000-FFFF-FFFF00000000}"/>
  </bookViews>
  <sheets>
    <sheet name="8例題1" sheetId="38" r:id="rId1"/>
    <sheet name="8例題2" sheetId="39" r:id="rId2"/>
    <sheet name="8問題2" sheetId="40" r:id="rId3"/>
    <sheet name="9例題1" sheetId="41" r:id="rId4"/>
    <sheet name="9例題2" sheetId="42" r:id="rId5"/>
    <sheet name="9例題3" sheetId="44" r:id="rId6"/>
    <sheet name="9問題1" sheetId="43" r:id="rId7"/>
    <sheet name="9問題2" sheetId="45" r:id="rId8"/>
    <sheet name="9問題3" sheetId="46" r:id="rId9"/>
    <sheet name="9問題4" sheetId="47" r:id="rId10"/>
    <sheet name="10例題1" sheetId="48" r:id="rId11"/>
    <sheet name="10例題2" sheetId="49" r:id="rId12"/>
    <sheet name="10例題3" sheetId="50" r:id="rId13"/>
    <sheet name="10問題1" sheetId="51" r:id="rId14"/>
    <sheet name="10問題2" sheetId="52" r:id="rId15"/>
    <sheet name="10問題3" sheetId="53" r:id="rId16"/>
    <sheet name="11例題1" sheetId="54" r:id="rId17"/>
    <sheet name="11例題2" sheetId="55" r:id="rId18"/>
    <sheet name="11例題3" sheetId="56" r:id="rId19"/>
    <sheet name="11問題1" sheetId="57" r:id="rId20"/>
    <sheet name="11問題2" sheetId="58" r:id="rId21"/>
    <sheet name="12例題1" sheetId="60" r:id="rId22"/>
    <sheet name="12例題2" sheetId="61" r:id="rId23"/>
    <sheet name="12問題1" sheetId="62" r:id="rId24"/>
    <sheet name="12問題2" sheetId="63" r:id="rId2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63" l="1"/>
  <c r="F44" i="63"/>
  <c r="E44" i="63"/>
  <c r="D44" i="63"/>
  <c r="E43" i="63"/>
  <c r="D43" i="63"/>
  <c r="F41" i="63"/>
  <c r="F31" i="63"/>
  <c r="E31" i="63" s="1"/>
  <c r="F30" i="63"/>
  <c r="E30" i="63" s="1"/>
  <c r="F28" i="63"/>
  <c r="E28" i="63" s="1"/>
  <c r="F27" i="63"/>
  <c r="E27" i="63" s="1"/>
  <c r="E64" i="63"/>
  <c r="D64" i="63"/>
  <c r="E63" i="63"/>
  <c r="D63" i="63"/>
  <c r="E62" i="63"/>
  <c r="D62" i="63"/>
  <c r="F59" i="63"/>
  <c r="I35" i="62"/>
  <c r="H33" i="62"/>
  <c r="G32" i="62"/>
  <c r="F31" i="62"/>
  <c r="E30" i="62"/>
  <c r="I34" i="62"/>
  <c r="E22" i="62"/>
  <c r="H18" i="62"/>
  <c r="H17" i="62"/>
  <c r="G17" i="62"/>
  <c r="H16" i="62"/>
  <c r="G16" i="62"/>
  <c r="F16" i="62"/>
  <c r="F22" i="62" s="1"/>
  <c r="G19" i="62"/>
  <c r="F19" i="62"/>
  <c r="F18" i="62"/>
  <c r="H19" i="62"/>
  <c r="H25" i="62" s="1"/>
  <c r="G18" i="62"/>
  <c r="F17" i="62"/>
  <c r="E19" i="62"/>
  <c r="E18" i="62"/>
  <c r="E17" i="62"/>
  <c r="E16" i="62"/>
  <c r="D19" i="62"/>
  <c r="D18" i="62"/>
  <c r="H24" i="62" s="1"/>
  <c r="D17" i="62"/>
  <c r="H23" i="62" s="1"/>
  <c r="D16" i="62"/>
  <c r="H22" i="62" s="1"/>
  <c r="G25" i="62"/>
  <c r="F25" i="62"/>
  <c r="E25" i="62"/>
  <c r="G24" i="62"/>
  <c r="F24" i="62"/>
  <c r="E24" i="62"/>
  <c r="F23" i="62"/>
  <c r="E23" i="62"/>
  <c r="G22" i="62"/>
  <c r="F22" i="61"/>
  <c r="E22" i="61"/>
  <c r="D22" i="61"/>
  <c r="F21" i="61"/>
  <c r="E21" i="61"/>
  <c r="F20" i="61"/>
  <c r="E20" i="61"/>
  <c r="F19" i="61"/>
  <c r="E19" i="61"/>
  <c r="D21" i="61"/>
  <c r="D20" i="61"/>
  <c r="D19" i="61"/>
  <c r="H30" i="60"/>
  <c r="H29" i="60"/>
  <c r="G28" i="60"/>
  <c r="F27" i="60"/>
  <c r="E26" i="60"/>
  <c r="D25" i="60"/>
  <c r="F21" i="60"/>
  <c r="G21" i="60"/>
  <c r="G20" i="60"/>
  <c r="G19" i="60"/>
  <c r="G18" i="60"/>
  <c r="G22" i="60" s="1"/>
  <c r="F20" i="60"/>
  <c r="F19" i="60"/>
  <c r="F18" i="60"/>
  <c r="F22" i="60" s="1"/>
  <c r="E21" i="60"/>
  <c r="E20" i="60"/>
  <c r="E19" i="60"/>
  <c r="E18" i="60"/>
  <c r="E22" i="60" s="1"/>
  <c r="D21" i="60"/>
  <c r="D20" i="60"/>
  <c r="D19" i="60"/>
  <c r="D18" i="60"/>
  <c r="D22" i="60"/>
  <c r="E32" i="63" l="1"/>
  <c r="E29" i="63"/>
  <c r="F38" i="63" s="1"/>
  <c r="F43" i="63" s="1"/>
  <c r="C43" i="63" s="1"/>
  <c r="C45" i="63" s="1"/>
  <c r="C62" i="63"/>
  <c r="F64" i="63"/>
  <c r="C64" i="63" s="1"/>
  <c r="F63" i="63"/>
  <c r="C63" i="63" s="1"/>
  <c r="F62" i="63"/>
  <c r="H26" i="62"/>
  <c r="E26" i="62"/>
  <c r="F26" i="62"/>
  <c r="G23" i="62"/>
  <c r="G26" i="62" s="1"/>
  <c r="D14" i="50"/>
  <c r="C66" i="63" l="1"/>
  <c r="I12" i="58"/>
  <c r="I13" i="58" s="1"/>
  <c r="I17" i="58" s="1"/>
  <c r="I14" i="58"/>
  <c r="I16" i="58" s="1"/>
  <c r="I15" i="58"/>
  <c r="I11" i="58"/>
  <c r="H11" i="58"/>
  <c r="H12" i="58"/>
  <c r="H13" i="58" s="1"/>
  <c r="H17" i="58" s="1"/>
  <c r="H14" i="58"/>
  <c r="H16" i="58" s="1"/>
  <c r="H15" i="58"/>
  <c r="D20" i="58"/>
  <c r="C20" i="58"/>
  <c r="O23" i="57" l="1"/>
  <c r="O29" i="57" s="1"/>
  <c r="N22" i="57"/>
  <c r="M22" i="57"/>
  <c r="O21" i="57"/>
  <c r="N21" i="57"/>
  <c r="M21" i="57"/>
  <c r="M29" i="57"/>
  <c r="L20" i="57"/>
  <c r="J23" i="57"/>
  <c r="J29" i="57" s="1"/>
  <c r="I22" i="57"/>
  <c r="H22" i="57"/>
  <c r="J21" i="57"/>
  <c r="I21" i="57"/>
  <c r="I29" i="57" s="1"/>
  <c r="H21" i="57"/>
  <c r="H29" i="57"/>
  <c r="G20" i="57"/>
  <c r="G29" i="57" s="1"/>
  <c r="B20" i="57"/>
  <c r="B25" i="57"/>
  <c r="B29" i="57"/>
  <c r="B30" i="57" s="1"/>
  <c r="E29" i="57"/>
  <c r="D29" i="57"/>
  <c r="C29" i="57"/>
  <c r="E23" i="57"/>
  <c r="D22" i="57"/>
  <c r="C22" i="57"/>
  <c r="E21" i="57"/>
  <c r="D21" i="57"/>
  <c r="C21" i="57"/>
  <c r="L21" i="56"/>
  <c r="L20" i="56"/>
  <c r="L19" i="56"/>
  <c r="L17" i="56"/>
  <c r="L15" i="56"/>
  <c r="L13" i="56"/>
  <c r="K21" i="56"/>
  <c r="K20" i="56"/>
  <c r="H20" i="56"/>
  <c r="K19" i="56"/>
  <c r="K17" i="56"/>
  <c r="K15" i="56"/>
  <c r="K13" i="56"/>
  <c r="L11" i="56"/>
  <c r="F21" i="56"/>
  <c r="F19" i="56"/>
  <c r="F17" i="56"/>
  <c r="F15" i="56"/>
  <c r="F13" i="56"/>
  <c r="E21" i="56"/>
  <c r="E19" i="56"/>
  <c r="E17" i="56"/>
  <c r="E15" i="56"/>
  <c r="E13" i="56"/>
  <c r="F11" i="56"/>
  <c r="I13" i="55"/>
  <c r="I12" i="55"/>
  <c r="I11" i="55"/>
  <c r="I10" i="55"/>
  <c r="F25" i="54"/>
  <c r="F23" i="54"/>
  <c r="F22" i="54"/>
  <c r="E22" i="54"/>
  <c r="E20" i="54"/>
  <c r="E17" i="54"/>
  <c r="E14" i="54"/>
  <c r="F10" i="54"/>
  <c r="N29" i="57" l="1"/>
  <c r="L25" i="57"/>
  <c r="G30" i="57"/>
  <c r="L29" i="57"/>
  <c r="G25" i="57"/>
  <c r="N35" i="53"/>
  <c r="C47" i="53"/>
  <c r="I45" i="53"/>
  <c r="I44" i="53"/>
  <c r="F45" i="53"/>
  <c r="F44" i="53"/>
  <c r="F40" i="53"/>
  <c r="I36" i="53"/>
  <c r="F36" i="53"/>
  <c r="F30" i="53"/>
  <c r="D38" i="53"/>
  <c r="N36" i="53"/>
  <c r="F34" i="53" s="1"/>
  <c r="I30" i="53"/>
  <c r="H30" i="53"/>
  <c r="I24" i="53"/>
  <c r="G24" i="53"/>
  <c r="E24" i="53"/>
  <c r="C24" i="53" s="1"/>
  <c r="D18" i="53"/>
  <c r="D53" i="53"/>
  <c r="D56" i="53" s="1"/>
  <c r="G10" i="53"/>
  <c r="G20" i="53" s="1"/>
  <c r="E10" i="53"/>
  <c r="E20" i="53" s="1"/>
  <c r="C20" i="53" s="1"/>
  <c r="I12" i="53"/>
  <c r="H12" i="53"/>
  <c r="G12" i="53"/>
  <c r="F12" i="53"/>
  <c r="E12" i="53"/>
  <c r="D12" i="53"/>
  <c r="N14" i="53"/>
  <c r="I13" i="53" s="1"/>
  <c r="N15" i="53"/>
  <c r="N16" i="53" s="1"/>
  <c r="G14" i="53" s="1"/>
  <c r="I16" i="53"/>
  <c r="I25" i="53" s="1"/>
  <c r="G16" i="53"/>
  <c r="G25" i="53" s="1"/>
  <c r="E16" i="53"/>
  <c r="E25" i="53" s="1"/>
  <c r="I10" i="53"/>
  <c r="H10" i="53"/>
  <c r="K61" i="52"/>
  <c r="J61" i="52"/>
  <c r="D56" i="52" s="1"/>
  <c r="I61" i="52"/>
  <c r="K51" i="52"/>
  <c r="K55" i="52" s="1"/>
  <c r="D53" i="52" s="1"/>
  <c r="C32" i="52"/>
  <c r="L30" i="57" l="1"/>
  <c r="G34" i="53"/>
  <c r="D34" i="53"/>
  <c r="C43" i="53" s="1"/>
  <c r="C41" i="53" s="1"/>
  <c r="G48" i="53" s="1"/>
  <c r="H34" i="53"/>
  <c r="E34" i="53"/>
  <c r="I34" i="53"/>
  <c r="C25" i="53"/>
  <c r="C40" i="53"/>
  <c r="C45" i="53"/>
  <c r="C44" i="53"/>
  <c r="C21" i="53"/>
  <c r="H14" i="53"/>
  <c r="F13" i="53"/>
  <c r="D14" i="53"/>
  <c r="C23" i="53" s="1"/>
  <c r="D13" i="53"/>
  <c r="C22" i="53" s="1"/>
  <c r="G13" i="53"/>
  <c r="E14" i="53"/>
  <c r="I14" i="53"/>
  <c r="H13" i="53"/>
  <c r="F14" i="53"/>
  <c r="E13" i="53"/>
  <c r="D54" i="52"/>
  <c r="G40" i="52"/>
  <c r="F41" i="52"/>
  <c r="C27" i="53" l="1"/>
  <c r="F42" i="52"/>
  <c r="D40" i="52"/>
  <c r="C41" i="52"/>
  <c r="H29" i="52"/>
  <c r="H28" i="52" s="1"/>
  <c r="F23" i="52"/>
  <c r="G26" i="52"/>
  <c r="C14" i="52"/>
  <c r="E14" i="52" s="1"/>
  <c r="C42" i="52" l="1"/>
  <c r="C17" i="52"/>
  <c r="C18" i="52" s="1"/>
  <c r="C19" i="52" s="1"/>
  <c r="C20" i="52" s="1"/>
  <c r="G27" i="52"/>
  <c r="H27" i="52" s="1"/>
  <c r="H26" i="52" s="1"/>
  <c r="H23" i="52" s="1"/>
  <c r="F35" i="52" l="1"/>
  <c r="G28" i="52"/>
  <c r="G29" i="52" s="1"/>
  <c r="C24" i="52" s="1"/>
  <c r="J13" i="51"/>
  <c r="J24" i="51" s="1"/>
  <c r="H44" i="51"/>
  <c r="J26" i="51"/>
  <c r="G13" i="51"/>
  <c r="O16" i="51"/>
  <c r="J15" i="51" s="1"/>
  <c r="O15" i="51"/>
  <c r="L13" i="51"/>
  <c r="G15" i="51"/>
  <c r="E23" i="50"/>
  <c r="C20" i="50"/>
  <c r="C22" i="50"/>
  <c r="D23" i="48"/>
  <c r="K30" i="48" s="1"/>
  <c r="K28" i="48" s="1"/>
  <c r="K26" i="48" s="1"/>
  <c r="H27" i="48"/>
  <c r="P25" i="48"/>
  <c r="K22" i="48"/>
  <c r="K12" i="48"/>
  <c r="K24" i="48"/>
  <c r="H24" i="48"/>
  <c r="C17" i="48"/>
  <c r="C16" i="48"/>
  <c r="H13" i="48"/>
  <c r="H12" i="48"/>
  <c r="G13" i="48"/>
  <c r="F13" i="48"/>
  <c r="E13" i="48"/>
  <c r="D13" i="48"/>
  <c r="K20" i="48"/>
  <c r="K16" i="48"/>
  <c r="K14" i="48"/>
  <c r="P15" i="48"/>
  <c r="M12" i="48"/>
  <c r="H14" i="48"/>
  <c r="G41" i="52" l="1"/>
  <c r="C27" i="52"/>
  <c r="D41" i="52"/>
  <c r="J17" i="51"/>
  <c r="J28" i="48"/>
  <c r="P24" i="48"/>
  <c r="P26" i="48" s="1"/>
  <c r="J18" i="48"/>
  <c r="K18" i="48" s="1"/>
  <c r="F23" i="47"/>
  <c r="F22" i="47"/>
  <c r="F11" i="47"/>
  <c r="D20" i="47"/>
  <c r="E20" i="47"/>
  <c r="E19" i="47"/>
  <c r="E18" i="47"/>
  <c r="E21" i="47" s="1"/>
  <c r="E11" i="47"/>
  <c r="D21" i="47"/>
  <c r="D18" i="47"/>
  <c r="D19" i="47"/>
  <c r="D12" i="47"/>
  <c r="D13" i="47" s="1"/>
  <c r="D11" i="47"/>
  <c r="C22" i="47"/>
  <c r="C21" i="47"/>
  <c r="C20" i="47"/>
  <c r="C19" i="47"/>
  <c r="C18" i="47"/>
  <c r="C13" i="47"/>
  <c r="C12" i="47"/>
  <c r="F28" i="46"/>
  <c r="F30" i="46" s="1"/>
  <c r="B30" i="46" s="1"/>
  <c r="B31" i="46" s="1"/>
  <c r="F18" i="46"/>
  <c r="E30" i="46"/>
  <c r="D30" i="46"/>
  <c r="C30" i="46"/>
  <c r="C28" i="46"/>
  <c r="B28" i="46"/>
  <c r="B27" i="46"/>
  <c r="F27" i="46"/>
  <c r="E27" i="46"/>
  <c r="D27" i="46"/>
  <c r="C27" i="46"/>
  <c r="F26" i="46"/>
  <c r="E26" i="46"/>
  <c r="D26" i="46"/>
  <c r="C26" i="46"/>
  <c r="F25" i="46"/>
  <c r="E25" i="46"/>
  <c r="D25" i="46"/>
  <c r="C25" i="46"/>
  <c r="C24" i="46"/>
  <c r="E23" i="46"/>
  <c r="E24" i="46" s="1"/>
  <c r="E28" i="46" s="1"/>
  <c r="C23" i="46"/>
  <c r="I19" i="46"/>
  <c r="H19" i="46"/>
  <c r="F23" i="46" s="1"/>
  <c r="F24" i="46" s="1"/>
  <c r="I18" i="46"/>
  <c r="H18" i="46"/>
  <c r="I17" i="46"/>
  <c r="H17" i="46"/>
  <c r="D23" i="46" s="1"/>
  <c r="D24" i="46" s="1"/>
  <c r="D28" i="46" s="1"/>
  <c r="I16" i="46"/>
  <c r="H16" i="46"/>
  <c r="K17" i="46"/>
  <c r="I12" i="46"/>
  <c r="B18" i="46"/>
  <c r="B14" i="46"/>
  <c r="D22" i="46" s="1"/>
  <c r="J40" i="45"/>
  <c r="M44" i="45"/>
  <c r="L44" i="45"/>
  <c r="K44" i="45"/>
  <c r="M42" i="45"/>
  <c r="L42" i="45"/>
  <c r="K42" i="45"/>
  <c r="M41" i="45"/>
  <c r="L41" i="45"/>
  <c r="K41" i="45"/>
  <c r="M33" i="45"/>
  <c r="L33" i="45"/>
  <c r="K33" i="45"/>
  <c r="M32" i="45"/>
  <c r="L32" i="45"/>
  <c r="K32" i="45"/>
  <c r="M31" i="45"/>
  <c r="L31" i="45"/>
  <c r="K31" i="45"/>
  <c r="M30" i="45"/>
  <c r="L30" i="45"/>
  <c r="K30" i="45"/>
  <c r="M29" i="45"/>
  <c r="L29" i="45"/>
  <c r="K29" i="45"/>
  <c r="K35" i="45"/>
  <c r="E32" i="45"/>
  <c r="D32" i="45"/>
  <c r="E43" i="45" s="1"/>
  <c r="G37" i="45"/>
  <c r="E33" i="45"/>
  <c r="D33" i="45"/>
  <c r="F37" i="45"/>
  <c r="F33" i="45" s="1"/>
  <c r="D21" i="45"/>
  <c r="G21" i="45" s="1"/>
  <c r="C17" i="45"/>
  <c r="D17" i="45"/>
  <c r="G17" i="45" s="1"/>
  <c r="G31" i="43"/>
  <c r="G34" i="43" s="1"/>
  <c r="J28" i="43"/>
  <c r="J27" i="43"/>
  <c r="J29" i="43"/>
  <c r="J31" i="43" s="1"/>
  <c r="J32" i="43" s="1"/>
  <c r="F34" i="43"/>
  <c r="E34" i="43"/>
  <c r="D25" i="43"/>
  <c r="D24" i="43"/>
  <c r="D20" i="43"/>
  <c r="G24" i="43"/>
  <c r="F24" i="43"/>
  <c r="E24" i="43"/>
  <c r="E22" i="43"/>
  <c r="G22" i="43"/>
  <c r="H16" i="43"/>
  <c r="H15" i="43"/>
  <c r="H13" i="43"/>
  <c r="H12" i="43"/>
  <c r="H11" i="43"/>
  <c r="C16" i="43"/>
  <c r="C15" i="43"/>
  <c r="C13" i="43"/>
  <c r="C12" i="43"/>
  <c r="H39" i="44"/>
  <c r="G39" i="44"/>
  <c r="F39" i="44"/>
  <c r="E39" i="44"/>
  <c r="D39" i="44"/>
  <c r="C38" i="44"/>
  <c r="Q32" i="44"/>
  <c r="L33" i="44" s="1"/>
  <c r="L32" i="44"/>
  <c r="Q28" i="44"/>
  <c r="L28" i="44"/>
  <c r="Q25" i="44"/>
  <c r="S21" i="44"/>
  <c r="Q21" i="44"/>
  <c r="L37" i="44"/>
  <c r="L38" i="44" s="1"/>
  <c r="H40" i="44" s="1"/>
  <c r="C43" i="44" s="1"/>
  <c r="L36" i="44"/>
  <c r="L26" i="44"/>
  <c r="C23" i="44"/>
  <c r="N22" i="44"/>
  <c r="L22" i="44"/>
  <c r="C21" i="44"/>
  <c r="C18" i="44"/>
  <c r="C20" i="44" s="1"/>
  <c r="C22" i="44" s="1"/>
  <c r="C24" i="44" s="1"/>
  <c r="E15" i="44"/>
  <c r="C15" i="44"/>
  <c r="E13" i="44"/>
  <c r="D55" i="52" l="1"/>
  <c r="D42" i="52"/>
  <c r="D57" i="52"/>
  <c r="G42" i="52"/>
  <c r="I19" i="51"/>
  <c r="J19" i="51"/>
  <c r="E22" i="47"/>
  <c r="E12" i="47"/>
  <c r="E13" i="47" s="1"/>
  <c r="D22" i="47"/>
  <c r="E22" i="46"/>
  <c r="K18" i="46" s="1"/>
  <c r="F22" i="46"/>
  <c r="K19" i="46" s="1"/>
  <c r="C22" i="46"/>
  <c r="K16" i="46" s="1"/>
  <c r="J44" i="45"/>
  <c r="J45" i="45" s="1"/>
  <c r="L35" i="45"/>
  <c r="M35" i="45"/>
  <c r="I21" i="45"/>
  <c r="D18" i="45"/>
  <c r="D22" i="45" s="1"/>
  <c r="F32" i="45"/>
  <c r="D34" i="43"/>
  <c r="D35" i="43" s="1"/>
  <c r="C50" i="44"/>
  <c r="J21" i="51" l="1"/>
  <c r="D14" i="51" s="1"/>
  <c r="E14" i="51" s="1"/>
  <c r="F14" i="51" s="1"/>
  <c r="G14" i="51" s="1"/>
  <c r="L16" i="46"/>
  <c r="E29" i="45"/>
  <c r="D29" i="45"/>
  <c r="G22" i="45"/>
  <c r="F29" i="45"/>
  <c r="D44" i="45"/>
  <c r="P30" i="44"/>
  <c r="Q30" i="44" s="1"/>
  <c r="K30" i="44"/>
  <c r="L30" i="44" s="1"/>
  <c r="C17" i="51" l="1"/>
  <c r="C18" i="51" s="1"/>
  <c r="F38" i="51" s="1"/>
  <c r="F34" i="45"/>
  <c r="F35" i="45" s="1"/>
  <c r="D34" i="45"/>
  <c r="D35" i="45" s="1"/>
  <c r="E34" i="45"/>
  <c r="E35" i="45" s="1"/>
  <c r="G50" i="44"/>
  <c r="H50" i="44"/>
  <c r="F50" i="44"/>
  <c r="E50" i="44"/>
  <c r="F36" i="51" l="1"/>
  <c r="F37" i="51"/>
  <c r="C22" i="51"/>
  <c r="C24" i="51"/>
  <c r="J32" i="51" s="1"/>
  <c r="J30" i="51" s="1"/>
  <c r="J28" i="51" s="1"/>
  <c r="L24" i="51" s="1"/>
  <c r="D50" i="44"/>
  <c r="J50" i="44" s="1"/>
  <c r="C42" i="44"/>
  <c r="C45" i="44" s="1"/>
  <c r="I14" i="42"/>
  <c r="H14" i="42"/>
  <c r="J14" i="42" s="1"/>
  <c r="H17" i="42" s="1"/>
  <c r="J13" i="42"/>
  <c r="J17" i="42" s="1"/>
  <c r="J44" i="42"/>
  <c r="H40" i="42"/>
  <c r="H41" i="42" s="1"/>
  <c r="H44" i="42" s="1"/>
  <c r="I40" i="42"/>
  <c r="I41" i="42" s="1"/>
  <c r="I44" i="42" s="1"/>
  <c r="K44" i="42" s="1"/>
  <c r="H33" i="42" s="1"/>
  <c r="C36" i="42" s="1"/>
  <c r="C29" i="42"/>
  <c r="I30" i="51" l="1"/>
  <c r="N24" i="51"/>
  <c r="N27" i="51"/>
  <c r="H19" i="42"/>
  <c r="G21" i="42"/>
  <c r="H21" i="42" s="1"/>
  <c r="H23" i="42" s="1"/>
  <c r="C14" i="42"/>
  <c r="C39" i="41"/>
  <c r="J30" i="41"/>
  <c r="C12" i="41"/>
  <c r="E11" i="41"/>
  <c r="H14" i="41" s="1"/>
  <c r="H16" i="41" s="1"/>
  <c r="F32" i="42" l="1"/>
  <c r="E32" i="42"/>
  <c r="H32" i="42"/>
  <c r="D32" i="42"/>
  <c r="C35" i="42" s="1"/>
  <c r="G32" i="42"/>
  <c r="D30" i="42"/>
  <c r="C30" i="42" s="1"/>
  <c r="C31" i="42" s="1"/>
  <c r="C38" i="42" s="1"/>
  <c r="I32" i="41"/>
  <c r="J34" i="41" s="1"/>
  <c r="G18" i="41"/>
  <c r="H18" i="41" s="1"/>
  <c r="H20" i="41" s="1"/>
  <c r="C22" i="41" s="1"/>
  <c r="M40" i="41" s="1"/>
  <c r="D21" i="40"/>
  <c r="C21" i="40"/>
  <c r="D20" i="40"/>
  <c r="C20" i="40"/>
  <c r="D19" i="40"/>
  <c r="C19" i="40"/>
  <c r="C63" i="40" s="1"/>
  <c r="F11" i="40"/>
  <c r="C43" i="40"/>
  <c r="C31" i="40"/>
  <c r="D18" i="40"/>
  <c r="D63" i="40" s="1"/>
  <c r="C18" i="40"/>
  <c r="I31" i="39"/>
  <c r="H31" i="39"/>
  <c r="D31" i="39"/>
  <c r="C31" i="39"/>
  <c r="M41" i="41" l="1"/>
  <c r="C44" i="41" s="1"/>
  <c r="D22" i="41"/>
  <c r="J32" i="41"/>
  <c r="C21" i="41"/>
  <c r="C17" i="41"/>
  <c r="C13" i="41"/>
  <c r="D40" i="41" s="1"/>
  <c r="C20" i="41"/>
  <c r="C16" i="41"/>
  <c r="C19" i="41"/>
  <c r="C15" i="41"/>
  <c r="C18" i="41"/>
  <c r="C14" i="41"/>
  <c r="E32" i="40"/>
  <c r="E35" i="40" s="1"/>
  <c r="D32" i="40"/>
  <c r="F32" i="40"/>
  <c r="F35" i="40" s="1"/>
  <c r="C57" i="39"/>
  <c r="C62" i="39"/>
  <c r="C50" i="39"/>
  <c r="I48" i="39"/>
  <c r="C45" i="39"/>
  <c r="F11" i="39"/>
  <c r="D36" i="39" s="1"/>
  <c r="D22" i="39"/>
  <c r="C22" i="39"/>
  <c r="D21" i="39"/>
  <c r="C21" i="39"/>
  <c r="B16" i="38"/>
  <c r="E40" i="41" l="1"/>
  <c r="F40" i="41" s="1"/>
  <c r="G40" i="41" s="1"/>
  <c r="H40" i="41" s="1"/>
  <c r="I40" i="41" s="1"/>
  <c r="J40" i="41" s="1"/>
  <c r="K40" i="41" s="1"/>
  <c r="L40" i="41" s="1"/>
  <c r="C43" i="41"/>
  <c r="C45" i="41" s="1"/>
  <c r="H58" i="39"/>
  <c r="H61" i="39" s="1"/>
  <c r="I36" i="39"/>
  <c r="D35" i="40"/>
  <c r="C35" i="40" s="1"/>
  <c r="C54" i="40" s="1"/>
  <c r="C37" i="40"/>
  <c r="F44" i="40"/>
  <c r="F47" i="40" s="1"/>
  <c r="E44" i="40"/>
  <c r="E47" i="40" s="1"/>
  <c r="D44" i="40"/>
  <c r="D47" i="40" s="1"/>
  <c r="C23" i="39"/>
  <c r="D23" i="39"/>
  <c r="C33" i="39"/>
  <c r="C35" i="39"/>
  <c r="D33" i="39"/>
  <c r="D35" i="39"/>
  <c r="C32" i="39"/>
  <c r="C34" i="39"/>
  <c r="C36" i="39"/>
  <c r="H36" i="39" s="1"/>
  <c r="D32" i="39"/>
  <c r="D34" i="39"/>
  <c r="F58" i="39" l="1"/>
  <c r="F61" i="39" s="1"/>
  <c r="I34" i="39"/>
  <c r="D46" i="39"/>
  <c r="C49" i="39" s="1"/>
  <c r="H32" i="39"/>
  <c r="C77" i="39" s="1"/>
  <c r="E46" i="39"/>
  <c r="H33" i="39"/>
  <c r="D58" i="39"/>
  <c r="D61" i="39" s="1"/>
  <c r="C61" i="39" s="1"/>
  <c r="I32" i="39"/>
  <c r="D77" i="39" s="1"/>
  <c r="G58" i="39"/>
  <c r="G61" i="39" s="1"/>
  <c r="I35" i="39"/>
  <c r="E58" i="39"/>
  <c r="E61" i="39" s="1"/>
  <c r="I33" i="39"/>
  <c r="F46" i="39"/>
  <c r="H34" i="39"/>
  <c r="G46" i="39"/>
  <c r="H35" i="39"/>
  <c r="C47" i="40"/>
  <c r="C38" i="39"/>
  <c r="H46" i="39"/>
  <c r="D38" i="39"/>
  <c r="C63" i="39" l="1"/>
  <c r="D68" i="39"/>
  <c r="C51" i="39"/>
  <c r="C68" i="39"/>
  <c r="D54" i="40"/>
  <c r="C49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5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解き方①
初年度の投資額(Cash out)をメモ</t>
        </r>
      </text>
    </comment>
    <comment ref="H46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解き方②
タイムテーブルを描き、CF(Cash in)額をメモ</t>
        </r>
      </text>
    </comment>
    <comment ref="C49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解き方③
資本コストで現在価値PVに割り引く</t>
        </r>
      </text>
    </comment>
    <comment ref="C51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解き方ゴール
期首時点のPVでCFを合計し、プラスマイナスどちらになるかを見る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30" authorId="0" shapeId="0" xr:uid="{00000000-0006-0000-0400-000001000000}">
      <text>
        <r>
          <rPr>
            <sz val="9"/>
            <color indexed="81"/>
            <rFont val="ＭＳ Ｐゴシック"/>
            <family val="3"/>
            <charset val="128"/>
          </rPr>
          <t>売却による税効果は1年分割り引く</t>
        </r>
      </text>
    </comment>
    <comment ref="H37" authorId="0" shapeId="0" xr:uid="{00000000-0006-0000-0400-000002000000}">
      <text>
        <r>
          <rPr>
            <sz val="9"/>
            <color indexed="81"/>
            <rFont val="ＭＳ Ｐゴシック"/>
            <family val="3"/>
            <charset val="128"/>
          </rPr>
          <t>あるはずのものがなくなる→機会費用として加算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2" authorId="0" shapeId="0" xr:uid="{00000000-0006-0000-0500-000001000000}">
      <text>
        <r>
          <rPr>
            <sz val="9"/>
            <color indexed="81"/>
            <rFont val="MS P ゴシック"/>
            <family val="3"/>
            <charset val="128"/>
          </rPr>
          <t>解き方①
会計的利益とCFの使い方の違いを知る</t>
        </r>
      </text>
    </comment>
    <comment ref="E18" authorId="0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>当問はIRRまたはNPVで解答すれば良いので、ここは使わない。</t>
        </r>
      </text>
    </comment>
    <comment ref="N20" authorId="0" shapeId="0" xr:uid="{00000000-0006-0000-0500-000003000000}">
      <text>
        <r>
          <rPr>
            <sz val="9"/>
            <color indexed="81"/>
            <rFont val="MS P ゴシック"/>
            <family val="3"/>
            <charset val="128"/>
          </rPr>
          <t>解き方②
税引後CIF BOXを描く練習問題としては、とても良い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36" authorId="0" shapeId="0" xr:uid="{00000000-0006-0000-0D00-000001000000}">
      <text>
        <r>
          <rPr>
            <sz val="9"/>
            <color indexed="81"/>
            <rFont val="MS P ゴシック"/>
            <family val="3"/>
            <charset val="128"/>
          </rPr>
          <t>イケカコ解答を見ると気絶しそうになるが、エクセルなら値を打ち変えて一瞬。</t>
        </r>
      </text>
    </comment>
    <comment ref="H44" authorId="0" shapeId="0" xr:uid="{00000000-0006-0000-0D00-000002000000}">
      <text>
        <r>
          <rPr>
            <sz val="9"/>
            <color indexed="81"/>
            <rFont val="MS P ゴシック"/>
            <family val="3"/>
            <charset val="128"/>
          </rPr>
          <t>ここもエクセルなら一発。手計算するかは人それぞれ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12" authorId="0" shapeId="0" xr:uid="{00000000-0006-0000-0F00-000001000000}">
      <text>
        <r>
          <rPr>
            <sz val="9"/>
            <color indexed="81"/>
            <rFont val="MS P ゴシック"/>
            <family val="3"/>
            <charset val="128"/>
          </rPr>
          <t>当問は収益が同額原価として与えられないため、現金支出とTSのみに注目して計算する。
CIF、減価償却費を入れて計算する方が正しいと考えられるが、解答がそうなっているので、ここは割り切る。</t>
        </r>
      </text>
    </comment>
    <comment ref="C41" authorId="0" shapeId="0" xr:uid="{00000000-0006-0000-0F00-000002000000}">
      <text>
        <r>
          <rPr>
            <sz val="9"/>
            <color indexed="81"/>
            <rFont val="MS P ゴシック"/>
            <family val="3"/>
            <charset val="128"/>
          </rPr>
          <t xml:space="preserve">②逆算で、現金支出＋TS分(つまり×0.6掛)分のPVを求める
</t>
        </r>
      </text>
    </comment>
    <comment ref="C47" authorId="0" shapeId="0" xr:uid="{00000000-0006-0000-0F00-000003000000}">
      <text>
        <r>
          <rPr>
            <sz val="9"/>
            <color indexed="81"/>
            <rFont val="MS P ゴシック"/>
            <family val="3"/>
            <charset val="128"/>
          </rPr>
          <t>①α機械と同額にする</t>
        </r>
      </text>
    </comment>
    <comment ref="G48" authorId="0" shapeId="0" xr:uid="{00000000-0006-0000-0F00-000004000000}">
      <text>
        <r>
          <rPr>
            <sz val="9"/>
            <color indexed="81"/>
            <rFont val="MS P ゴシック"/>
            <family val="3"/>
            <charset val="128"/>
          </rPr>
          <t>③求めたPVを年金原価係数で割ると、年辺りの許容現金支出額を計算できる</t>
        </r>
      </text>
    </comment>
  </commentList>
</comments>
</file>

<file path=xl/sharedStrings.xml><?xml version="1.0" encoding="utf-8"?>
<sst xmlns="http://schemas.openxmlformats.org/spreadsheetml/2006/main" count="1181" uniqueCount="616">
  <si>
    <t>イケカコ エクセル活躍学習法</t>
    <rPh sb="9" eb="11">
      <t>カツヤク</t>
    </rPh>
    <rPh sb="11" eb="14">
      <t>ガクシュウホウ</t>
    </rPh>
    <phoneticPr fontId="1"/>
  </si>
  <si>
    <t>2限目 例題1</t>
    <rPh sb="1" eb="3">
      <t>ゲンメ</t>
    </rPh>
    <rPh sb="4" eb="6">
      <t>レイダイ</t>
    </rPh>
    <phoneticPr fontId="1"/>
  </si>
  <si>
    <t>解き方</t>
    <rPh sb="0" eb="1">
      <t>ト</t>
    </rPh>
    <rPh sb="2" eb="3">
      <t>カタ</t>
    </rPh>
    <phoneticPr fontId="1"/>
  </si>
  <si>
    <t>投資額</t>
    <rPh sb="0" eb="2">
      <t>トウシ</t>
    </rPh>
    <rPh sb="2" eb="3">
      <t>ガク</t>
    </rPh>
    <phoneticPr fontId="1"/>
  </si>
  <si>
    <t>円</t>
    <rPh sb="0" eb="1">
      <t>エン</t>
    </rPh>
    <phoneticPr fontId="1"/>
  </si>
  <si>
    <t>Lecture 8 戦略的意思決定会計(1)</t>
    <rPh sb="10" eb="12">
      <t>センリャク</t>
    </rPh>
    <rPh sb="12" eb="13">
      <t>テキ</t>
    </rPh>
    <rPh sb="13" eb="15">
      <t>イシ</t>
    </rPh>
    <rPh sb="15" eb="17">
      <t>ケッテイ</t>
    </rPh>
    <rPh sb="17" eb="19">
      <t>カイケイ</t>
    </rPh>
    <phoneticPr fontId="1"/>
  </si>
  <si>
    <t>・今の300万円を5回払いにするといくら、逆に将来60万円を5回分割で受け取ると現在価値はいくら？その計算には年金現価係数、複利現価係数の表を使う。</t>
    <rPh sb="1" eb="2">
      <t>イマ</t>
    </rPh>
    <rPh sb="6" eb="8">
      <t>マンエン</t>
    </rPh>
    <rPh sb="10" eb="11">
      <t>カイ</t>
    </rPh>
    <rPh sb="11" eb="12">
      <t>バラ</t>
    </rPh>
    <rPh sb="21" eb="22">
      <t>ギャク</t>
    </rPh>
    <rPh sb="23" eb="25">
      <t>ショウライ</t>
    </rPh>
    <rPh sb="27" eb="29">
      <t>マンエン</t>
    </rPh>
    <rPh sb="31" eb="32">
      <t>カイ</t>
    </rPh>
    <rPh sb="32" eb="34">
      <t>ブンカツ</t>
    </rPh>
    <rPh sb="35" eb="36">
      <t>ウ</t>
    </rPh>
    <rPh sb="37" eb="38">
      <t>ト</t>
    </rPh>
    <rPh sb="40" eb="42">
      <t>ゲンザイ</t>
    </rPh>
    <rPh sb="42" eb="44">
      <t>カチ</t>
    </rPh>
    <rPh sb="51" eb="53">
      <t>ケイサン</t>
    </rPh>
    <rPh sb="55" eb="57">
      <t>ネンキン</t>
    </rPh>
    <rPh sb="57" eb="59">
      <t>ゲンカ</t>
    </rPh>
    <rPh sb="59" eb="61">
      <t>ケイスウ</t>
    </rPh>
    <rPh sb="62" eb="64">
      <t>フクリ</t>
    </rPh>
    <rPh sb="64" eb="66">
      <t>ゲンカ</t>
    </rPh>
    <rPh sb="66" eb="68">
      <t>ケイスウ</t>
    </rPh>
    <rPh sb="69" eb="70">
      <t>ヒョウ</t>
    </rPh>
    <rPh sb="71" eb="72">
      <t>ツカ</t>
    </rPh>
    <phoneticPr fontId="1"/>
  </si>
  <si>
    <t>・現場の実際ではエクセル使えば良いが、資格試験でエクセルは使えない。そこでまずこの表の使い方を体で覚える。</t>
    <rPh sb="1" eb="3">
      <t>ゲンバ</t>
    </rPh>
    <rPh sb="4" eb="6">
      <t>ジッサイ</t>
    </rPh>
    <rPh sb="12" eb="13">
      <t>ツカ</t>
    </rPh>
    <rPh sb="15" eb="16">
      <t>ヨ</t>
    </rPh>
    <rPh sb="19" eb="21">
      <t>シカク</t>
    </rPh>
    <rPh sb="21" eb="23">
      <t>シケン</t>
    </rPh>
    <rPh sb="29" eb="30">
      <t>ツカ</t>
    </rPh>
    <rPh sb="41" eb="42">
      <t>ヒョウ</t>
    </rPh>
    <rPh sb="43" eb="44">
      <t>ツカ</t>
    </rPh>
    <rPh sb="45" eb="46">
      <t>カタ</t>
    </rPh>
    <rPh sb="47" eb="48">
      <t>カラダ</t>
    </rPh>
    <rPh sb="49" eb="50">
      <t>オボ</t>
    </rPh>
    <phoneticPr fontId="1"/>
  </si>
  <si>
    <t>・銀行から300万円を借り入れ、これを5%の利子をつけ、5年分割で支払う。</t>
    <rPh sb="1" eb="3">
      <t>ギンコウ</t>
    </rPh>
    <rPh sb="8" eb="10">
      <t>マンエン</t>
    </rPh>
    <rPh sb="11" eb="12">
      <t>カ</t>
    </rPh>
    <rPh sb="13" eb="14">
      <t>イ</t>
    </rPh>
    <rPh sb="22" eb="24">
      <t>リシ</t>
    </rPh>
    <rPh sb="29" eb="30">
      <t>ネン</t>
    </rPh>
    <rPh sb="30" eb="32">
      <t>ブンカツ</t>
    </rPh>
    <rPh sb="33" eb="35">
      <t>シハラ</t>
    </rPh>
    <phoneticPr fontId="1"/>
  </si>
  <si>
    <t>・この時毎年末に支払う金額は、｢年金現価係数表｣で求める</t>
    <rPh sb="3" eb="4">
      <t>トキ</t>
    </rPh>
    <rPh sb="4" eb="6">
      <t>マイトシ</t>
    </rPh>
    <rPh sb="6" eb="7">
      <t>マツ</t>
    </rPh>
    <rPh sb="8" eb="10">
      <t>シハラ</t>
    </rPh>
    <rPh sb="11" eb="13">
      <t>キンガク</t>
    </rPh>
    <rPh sb="16" eb="18">
      <t>ネンキン</t>
    </rPh>
    <rPh sb="18" eb="20">
      <t>ゲンカ</t>
    </rPh>
    <rPh sb="20" eb="22">
      <t>ケイスウ</t>
    </rPh>
    <rPh sb="22" eb="23">
      <t>ヒョウ</t>
    </rPh>
    <rPh sb="25" eb="26">
      <t>モト</t>
    </rPh>
    <phoneticPr fontId="1"/>
  </si>
  <si>
    <t>借入金額</t>
    <rPh sb="0" eb="2">
      <t>カリイレ</t>
    </rPh>
    <rPh sb="2" eb="4">
      <t>キンガク</t>
    </rPh>
    <phoneticPr fontId="1"/>
  </si>
  <si>
    <t>年金現価係数</t>
    <rPh sb="0" eb="2">
      <t>ネンキン</t>
    </rPh>
    <rPh sb="2" eb="4">
      <t>ゲンカ</t>
    </rPh>
    <rPh sb="4" eb="6">
      <t>ケイスウ</t>
    </rPh>
    <phoneticPr fontId="1"/>
  </si>
  <si>
    <t>1回あたり返済額</t>
    <rPh sb="1" eb="2">
      <t>カイ</t>
    </rPh>
    <rPh sb="5" eb="7">
      <t>ヘンサイ</t>
    </rPh>
    <rPh sb="7" eb="8">
      <t>ガク</t>
    </rPh>
    <phoneticPr fontId="1"/>
  </si>
  <si>
    <t>←年金現価係数表から拾う</t>
    <rPh sb="1" eb="3">
      <t>ネンキン</t>
    </rPh>
    <rPh sb="3" eb="5">
      <t>ゲンカ</t>
    </rPh>
    <rPh sb="5" eb="7">
      <t>ケイスウ</t>
    </rPh>
    <rPh sb="7" eb="8">
      <t>ヒョウ</t>
    </rPh>
    <rPh sb="10" eb="11">
      <t>ヒロ</t>
    </rPh>
    <phoneticPr fontId="1"/>
  </si>
  <si>
    <t>これを銀行(貸し手)の立場で見ると、</t>
    <rPh sb="3" eb="5">
      <t>ギンコウ</t>
    </rPh>
    <rPh sb="6" eb="7">
      <t>カ</t>
    </rPh>
    <rPh sb="8" eb="9">
      <t>テ</t>
    </rPh>
    <rPh sb="11" eb="13">
      <t>タチバ</t>
    </rPh>
    <rPh sb="14" eb="15">
      <t>ミ</t>
    </rPh>
    <phoneticPr fontId="1"/>
  </si>
  <si>
    <t>・692,921円を1年ごとに5回受け取り、5%で割り引いた時の現在価値は300万円、となる。</t>
    <rPh sb="8" eb="9">
      <t>エン</t>
    </rPh>
    <rPh sb="11" eb="12">
      <t>ネン</t>
    </rPh>
    <rPh sb="16" eb="17">
      <t>カイ</t>
    </rPh>
    <rPh sb="17" eb="18">
      <t>ウ</t>
    </rPh>
    <rPh sb="19" eb="20">
      <t>ト</t>
    </rPh>
    <rPh sb="25" eb="26">
      <t>ワ</t>
    </rPh>
    <rPh sb="27" eb="28">
      <t>ビ</t>
    </rPh>
    <rPh sb="30" eb="31">
      <t>トキ</t>
    </rPh>
    <rPh sb="32" eb="34">
      <t>ゲンザイ</t>
    </rPh>
    <rPh sb="34" eb="36">
      <t>カチ</t>
    </rPh>
    <rPh sb="40" eb="42">
      <t>マンエン</t>
    </rPh>
    <phoneticPr fontId="1"/>
  </si>
  <si>
    <t>最初から理屈はいらないので、まず計算問題を何度も解き、この考え方に慣れることが最初。</t>
    <rPh sb="0" eb="2">
      <t>サイショ</t>
    </rPh>
    <rPh sb="4" eb="6">
      <t>リクツ</t>
    </rPh>
    <rPh sb="16" eb="18">
      <t>ケイサン</t>
    </rPh>
    <rPh sb="18" eb="20">
      <t>モンダイ</t>
    </rPh>
    <rPh sb="21" eb="23">
      <t>ナンド</t>
    </rPh>
    <rPh sb="24" eb="25">
      <t>ト</t>
    </rPh>
    <rPh sb="29" eb="30">
      <t>カンガ</t>
    </rPh>
    <rPh sb="31" eb="32">
      <t>カタ</t>
    </rPh>
    <rPh sb="33" eb="34">
      <t>ナ</t>
    </rPh>
    <rPh sb="39" eb="41">
      <t>サイショ</t>
    </rPh>
    <phoneticPr fontId="1"/>
  </si>
  <si>
    <t>投資案A</t>
    <rPh sb="0" eb="2">
      <t>トウシ</t>
    </rPh>
    <rPh sb="2" eb="3">
      <t>アン</t>
    </rPh>
    <phoneticPr fontId="1"/>
  </si>
  <si>
    <t>投資案B</t>
    <rPh sb="0" eb="2">
      <t>トウシ</t>
    </rPh>
    <rPh sb="2" eb="3">
      <t>アン</t>
    </rPh>
    <phoneticPr fontId="1"/>
  </si>
  <si>
    <t>Y1</t>
    <phoneticPr fontId="1"/>
  </si>
  <si>
    <t>Y2</t>
    <phoneticPr fontId="1"/>
  </si>
  <si>
    <t>Y3</t>
  </si>
  <si>
    <t>Y4</t>
  </si>
  <si>
    <t>Y5</t>
  </si>
  <si>
    <t>5年後の残存価額</t>
    <rPh sb="1" eb="3">
      <t>ネンゴ</t>
    </rPh>
    <rPh sb="4" eb="6">
      <t>ザンゾン</t>
    </rPh>
    <rPh sb="6" eb="8">
      <t>カガク</t>
    </rPh>
    <phoneticPr fontId="1"/>
  </si>
  <si>
    <t>問1 会計的投資利益率</t>
    <rPh sb="0" eb="1">
      <t>ト</t>
    </rPh>
    <rPh sb="3" eb="6">
      <t>カイケイテキ</t>
    </rPh>
    <rPh sb="6" eb="8">
      <t>トウシ</t>
    </rPh>
    <rPh sb="8" eb="10">
      <t>リエキ</t>
    </rPh>
    <rPh sb="10" eb="11">
      <t>リツ</t>
    </rPh>
    <phoneticPr fontId="1"/>
  </si>
  <si>
    <t>平均利益</t>
    <rPh sb="0" eb="2">
      <t>ヘイキン</t>
    </rPh>
    <rPh sb="2" eb="4">
      <t>リエキ</t>
    </rPh>
    <phoneticPr fontId="1"/>
  </si>
  <si>
    <t>平均投資額</t>
    <rPh sb="0" eb="2">
      <t>ヘイキン</t>
    </rPh>
    <rPh sb="2" eb="4">
      <t>トウシ</t>
    </rPh>
    <rPh sb="4" eb="5">
      <t>ガク</t>
    </rPh>
    <phoneticPr fontId="1"/>
  </si>
  <si>
    <t>←平均投資額・・イケカコ解説はスキップしているが、</t>
    <rPh sb="1" eb="3">
      <t>ヘイキン</t>
    </rPh>
    <rPh sb="3" eb="5">
      <t>トウシ</t>
    </rPh>
    <rPh sb="5" eb="6">
      <t>ガク</t>
    </rPh>
    <rPh sb="12" eb="14">
      <t>カイセツ</t>
    </rPh>
    <phoneticPr fontId="1"/>
  </si>
  <si>
    <t xml:space="preserve">   </t>
    <phoneticPr fontId="1"/>
  </si>
  <si>
    <t>Y2</t>
    <phoneticPr fontId="1"/>
  </si>
  <si>
    <t>参考：平均投資額の考え方</t>
    <rPh sb="0" eb="2">
      <t>サンコウ</t>
    </rPh>
    <rPh sb="3" eb="5">
      <t>ヘイキン</t>
    </rPh>
    <rPh sb="5" eb="7">
      <t>トウシ</t>
    </rPh>
    <rPh sb="7" eb="8">
      <t>ガク</t>
    </rPh>
    <rPh sb="9" eb="10">
      <t>カンガ</t>
    </rPh>
    <rPh sb="11" eb="12">
      <t>カタ</t>
    </rPh>
    <phoneticPr fontId="1"/>
  </si>
  <si>
    <t>この平均額は、§5(P.44)の期中平均額の考え方を使う。上図参照。</t>
    <rPh sb="2" eb="4">
      <t>ヘイキン</t>
    </rPh>
    <rPh sb="4" eb="5">
      <t>ガク</t>
    </rPh>
    <rPh sb="16" eb="18">
      <t>キチュウ</t>
    </rPh>
    <rPh sb="18" eb="20">
      <t>ヘイキン</t>
    </rPh>
    <rPh sb="20" eb="21">
      <t>ガク</t>
    </rPh>
    <rPh sb="22" eb="23">
      <t>カンガ</t>
    </rPh>
    <rPh sb="24" eb="25">
      <t>カタ</t>
    </rPh>
    <rPh sb="26" eb="27">
      <t>ツカ</t>
    </rPh>
    <rPh sb="29" eb="31">
      <t>ジョウズ</t>
    </rPh>
    <rPh sb="31" eb="33">
      <t>サンショウ</t>
    </rPh>
    <phoneticPr fontId="1"/>
  </si>
  <si>
    <t>←ここが平均額</t>
    <rPh sb="4" eb="6">
      <t>ヘイキン</t>
    </rPh>
    <rPh sb="6" eb="7">
      <t>ガク</t>
    </rPh>
    <phoneticPr fontId="1"/>
  </si>
  <si>
    <t>定額法により、期間を通じずっと同じ額で減っていく場合、</t>
    <rPh sb="0" eb="2">
      <t>テイガク</t>
    </rPh>
    <rPh sb="2" eb="3">
      <t>ホウ</t>
    </rPh>
    <rPh sb="7" eb="9">
      <t>キカン</t>
    </rPh>
    <rPh sb="10" eb="11">
      <t>ツウ</t>
    </rPh>
    <rPh sb="15" eb="16">
      <t>オナ</t>
    </rPh>
    <rPh sb="17" eb="18">
      <t>ガク</t>
    </rPh>
    <rPh sb="19" eb="20">
      <t>ヘ</t>
    </rPh>
    <rPh sb="24" eb="26">
      <t>バアイ</t>
    </rPh>
    <phoneticPr fontId="1"/>
  </si>
  <si>
    <t>その期中平均額は、(最高＋最低)÷2で求まる。</t>
    <rPh sb="2" eb="4">
      <t>キチュウ</t>
    </rPh>
    <rPh sb="4" eb="6">
      <t>ヘイキン</t>
    </rPh>
    <rPh sb="6" eb="7">
      <t>ガク</t>
    </rPh>
    <rPh sb="10" eb="12">
      <t>サイコウ</t>
    </rPh>
    <rPh sb="13" eb="15">
      <t>サイテイ</t>
    </rPh>
    <rPh sb="19" eb="20">
      <t>モト</t>
    </rPh>
    <phoneticPr fontId="1"/>
  </si>
  <si>
    <t>※理屈としては、小学校の算数で学ぶ｢台形の面積の求め方｣ (上底＋下底)×高さ÷2と同じ。</t>
    <rPh sb="1" eb="3">
      <t>リクツ</t>
    </rPh>
    <rPh sb="8" eb="11">
      <t>ショウガッコウ</t>
    </rPh>
    <rPh sb="12" eb="14">
      <t>サンスウ</t>
    </rPh>
    <rPh sb="15" eb="16">
      <t>マナ</t>
    </rPh>
    <rPh sb="18" eb="20">
      <t>ダイケイ</t>
    </rPh>
    <rPh sb="21" eb="23">
      <t>メンセキ</t>
    </rPh>
    <rPh sb="24" eb="25">
      <t>モト</t>
    </rPh>
    <rPh sb="26" eb="27">
      <t>カタ</t>
    </rPh>
    <rPh sb="30" eb="32">
      <t>ジョウテイ</t>
    </rPh>
    <rPh sb="33" eb="35">
      <t>カテイ</t>
    </rPh>
    <rPh sb="37" eb="38">
      <t>タカ</t>
    </rPh>
    <rPh sb="42" eb="43">
      <t>オナ</t>
    </rPh>
    <phoneticPr fontId="1"/>
  </si>
  <si>
    <t>問2 回収期間</t>
    <rPh sb="0" eb="1">
      <t>ト</t>
    </rPh>
    <rPh sb="3" eb="5">
      <t>カイシュウ</t>
    </rPh>
    <rPh sb="5" eb="7">
      <t>キカン</t>
    </rPh>
    <phoneticPr fontId="1"/>
  </si>
  <si>
    <t>当問の投資利益とは、会計利益でなく｢キャッシュフロー｣を使う。</t>
    <rPh sb="0" eb="1">
      <t>トウ</t>
    </rPh>
    <rPh sb="1" eb="2">
      <t>モン</t>
    </rPh>
    <rPh sb="3" eb="5">
      <t>トウシ</t>
    </rPh>
    <rPh sb="5" eb="7">
      <t>リエキ</t>
    </rPh>
    <rPh sb="10" eb="12">
      <t>カイケイ</t>
    </rPh>
    <rPh sb="12" eb="14">
      <t>リエキ</t>
    </rPh>
    <rPh sb="28" eb="29">
      <t>ツカ</t>
    </rPh>
    <phoneticPr fontId="1"/>
  </si>
  <si>
    <t>例題中では指示がないが、実際の試験ではどちらを使うか指示されるので慌てない。</t>
    <rPh sb="0" eb="2">
      <t>レイダイ</t>
    </rPh>
    <rPh sb="2" eb="3">
      <t>チュウ</t>
    </rPh>
    <rPh sb="5" eb="7">
      <t>シジ</t>
    </rPh>
    <rPh sb="12" eb="14">
      <t>ジッサイ</t>
    </rPh>
    <rPh sb="15" eb="17">
      <t>シケン</t>
    </rPh>
    <rPh sb="23" eb="24">
      <t>ツカ</t>
    </rPh>
    <rPh sb="26" eb="28">
      <t>シジ</t>
    </rPh>
    <rPh sb="33" eb="34">
      <t>アワ</t>
    </rPh>
    <phoneticPr fontId="1"/>
  </si>
  <si>
    <t>定額法による減価償却額</t>
    <rPh sb="0" eb="2">
      <t>テイガク</t>
    </rPh>
    <rPh sb="2" eb="3">
      <t>ホウ</t>
    </rPh>
    <rPh sb="6" eb="8">
      <t>ゲンカ</t>
    </rPh>
    <rPh sb="8" eb="11">
      <t>ショウキャクガク</t>
    </rPh>
    <phoneticPr fontId="1"/>
  </si>
  <si>
    <t>当問のCFは、上表の会計的利益＋年間減価償却額9,000として良い。</t>
    <rPh sb="0" eb="1">
      <t>トウ</t>
    </rPh>
    <rPh sb="1" eb="2">
      <t>モン</t>
    </rPh>
    <rPh sb="7" eb="9">
      <t>ジョウヒョウ</t>
    </rPh>
    <rPh sb="10" eb="13">
      <t>カイケイテキ</t>
    </rPh>
    <rPh sb="13" eb="15">
      <t>リエキ</t>
    </rPh>
    <rPh sb="16" eb="18">
      <t>ネンカン</t>
    </rPh>
    <rPh sb="18" eb="20">
      <t>ゲンカ</t>
    </rPh>
    <rPh sb="20" eb="23">
      <t>ショウキャクガク</t>
    </rPh>
    <rPh sb="31" eb="32">
      <t>ヨ</t>
    </rPh>
    <phoneticPr fontId="1"/>
  </si>
  <si>
    <t>キャッシュフロー</t>
    <phoneticPr fontId="1"/>
  </si>
  <si>
    <t>回収期間</t>
    <rPh sb="0" eb="2">
      <t>カイシュウ</t>
    </rPh>
    <rPh sb="2" eb="4">
      <t>キカン</t>
    </rPh>
    <phoneticPr fontId="1"/>
  </si>
  <si>
    <t>会計的投資利益率</t>
    <rPh sb="0" eb="3">
      <t>カイケイテキ</t>
    </rPh>
    <rPh sb="3" eb="5">
      <t>トウシ</t>
    </rPh>
    <rPh sb="5" eb="7">
      <t>リエキ</t>
    </rPh>
    <rPh sb="7" eb="8">
      <t>リツ</t>
    </rPh>
    <phoneticPr fontId="1"/>
  </si>
  <si>
    <t>この4年間で45,000回収</t>
    <rPh sb="3" eb="5">
      <t>ネンカン</t>
    </rPh>
    <rPh sb="12" eb="14">
      <t>カイシュウ</t>
    </rPh>
    <phoneticPr fontId="1"/>
  </si>
  <si>
    <t>残る5,000÷13.000＝0.38年かかる</t>
    <rPh sb="0" eb="1">
      <t>ノコ</t>
    </rPh>
    <rPh sb="19" eb="20">
      <t>ネン</t>
    </rPh>
    <phoneticPr fontId="1"/>
  </si>
  <si>
    <t>問3 NPV ・・考え方、計算の仕方ともに大事。自分なりの｢解き方｣を作る。</t>
    <rPh sb="0" eb="1">
      <t>ト</t>
    </rPh>
    <rPh sb="9" eb="10">
      <t>カンガ</t>
    </rPh>
    <rPh sb="11" eb="12">
      <t>カタ</t>
    </rPh>
    <rPh sb="13" eb="15">
      <t>ケイサン</t>
    </rPh>
    <rPh sb="16" eb="18">
      <t>シカタ</t>
    </rPh>
    <rPh sb="21" eb="23">
      <t>ダイジ</t>
    </rPh>
    <rPh sb="24" eb="26">
      <t>ジブン</t>
    </rPh>
    <rPh sb="30" eb="31">
      <t>ト</t>
    </rPh>
    <rPh sb="32" eb="33">
      <t>カタ</t>
    </rPh>
    <rPh sb="35" eb="36">
      <t>ツク</t>
    </rPh>
    <phoneticPr fontId="1"/>
  </si>
  <si>
    <t>期首</t>
    <rPh sb="0" eb="2">
      <t>キシュ</t>
    </rPh>
    <phoneticPr fontId="1"/>
  </si>
  <si>
    <t>Y1 (年度末CF)</t>
    <rPh sb="4" eb="7">
      <t>ネンドマツ</t>
    </rPh>
    <phoneticPr fontId="1"/>
  </si>
  <si>
    <t>CF</t>
    <phoneticPr fontId="1"/>
  </si>
  <si>
    <t>現価係数</t>
    <rPh sb="0" eb="2">
      <t>ゲンカ</t>
    </rPh>
    <rPh sb="2" eb="4">
      <t>ケイスウ</t>
    </rPh>
    <phoneticPr fontId="1"/>
  </si>
  <si>
    <t>①投資額 △</t>
    <rPh sb="1" eb="3">
      <t>トウシ</t>
    </rPh>
    <rPh sb="3" eb="4">
      <t>ガク</t>
    </rPh>
    <phoneticPr fontId="1"/>
  </si>
  <si>
    <t>②割引後CF</t>
    <rPh sb="1" eb="3">
      <t>ワリビキ</t>
    </rPh>
    <rPh sb="3" eb="4">
      <t>ゴ</t>
    </rPh>
    <phoneticPr fontId="1"/>
  </si>
  <si>
    <t>CF(残存価額)</t>
    <rPh sb="3" eb="5">
      <t>ザンゾン</t>
    </rPh>
    <rPh sb="5" eb="7">
      <t>カガク</t>
    </rPh>
    <phoneticPr fontId="1"/>
  </si>
  <si>
    <t>③割引後CF(残価)</t>
    <rPh sb="1" eb="3">
      <t>ワリビキ</t>
    </rPh>
    <rPh sb="3" eb="4">
      <t>ゴ</t>
    </rPh>
    <rPh sb="7" eb="9">
      <t>ザンカ</t>
    </rPh>
    <phoneticPr fontId="1"/>
  </si>
  <si>
    <t>NPV＝①+②+③</t>
    <phoneticPr fontId="1"/>
  </si>
  <si>
    <t>参考記事：</t>
    <rPh sb="0" eb="2">
      <t>サンコウ</t>
    </rPh>
    <rPh sb="2" eb="4">
      <t>キジ</t>
    </rPh>
    <phoneticPr fontId="1"/>
  </si>
  <si>
    <t>http://fuxin24.net/2016/08/11/post-679/</t>
    <phoneticPr fontId="1"/>
  </si>
  <si>
    <t>NPVの問題はタイムテーブルを描いて計算することが基本。</t>
    <rPh sb="4" eb="6">
      <t>モンダイ</t>
    </rPh>
    <rPh sb="15" eb="16">
      <t>カ</t>
    </rPh>
    <rPh sb="18" eb="20">
      <t>ケイサン</t>
    </rPh>
    <rPh sb="25" eb="27">
      <t>キホン</t>
    </rPh>
    <phoneticPr fontId="1"/>
  </si>
  <si>
    <t>診断士試験では、IRRを算出させる問題は出ない。</t>
    <rPh sb="0" eb="3">
      <t>シンダンシ</t>
    </rPh>
    <rPh sb="3" eb="5">
      <t>シケン</t>
    </rPh>
    <rPh sb="12" eb="14">
      <t>サンシュツ</t>
    </rPh>
    <rPh sb="17" eb="19">
      <t>モンダイ</t>
    </rPh>
    <rPh sb="20" eb="21">
      <t>デ</t>
    </rPh>
    <phoneticPr fontId="1"/>
  </si>
  <si>
    <t>簿記などの試験上では｢試行錯誤法｣、現場の実際ではエクセルIRR関数で求める。</t>
    <rPh sb="0" eb="2">
      <t>ボキ</t>
    </rPh>
    <rPh sb="5" eb="7">
      <t>シケン</t>
    </rPh>
    <rPh sb="7" eb="8">
      <t>ジョウ</t>
    </rPh>
    <rPh sb="11" eb="13">
      <t>シコウ</t>
    </rPh>
    <rPh sb="13" eb="15">
      <t>サクゴ</t>
    </rPh>
    <rPh sb="15" eb="16">
      <t>ホウ</t>
    </rPh>
    <rPh sb="18" eb="20">
      <t>ゲンバ</t>
    </rPh>
    <rPh sb="21" eb="23">
      <t>ジッサイ</t>
    </rPh>
    <rPh sb="32" eb="34">
      <t>カンスウ</t>
    </rPh>
    <rPh sb="35" eb="36">
      <t>モト</t>
    </rPh>
    <phoneticPr fontId="1"/>
  </si>
  <si>
    <t>参考；IRR関数の計算用</t>
    <rPh sb="0" eb="2">
      <t>サンコウ</t>
    </rPh>
    <rPh sb="6" eb="8">
      <t>カンスウ</t>
    </rPh>
    <rPh sb="9" eb="12">
      <t>ケイサンヨウ</t>
    </rPh>
    <phoneticPr fontId="1"/>
  </si>
  <si>
    <t>投資額</t>
    <rPh sb="0" eb="2">
      <t>トウシ</t>
    </rPh>
    <rPh sb="2" eb="3">
      <t>ガク</t>
    </rPh>
    <phoneticPr fontId="1"/>
  </si>
  <si>
    <t>IRR</t>
    <phoneticPr fontId="1"/>
  </si>
  <si>
    <t>参考：NPVとIRRの比較 簿記向けネット記事</t>
    <rPh sb="0" eb="2">
      <t>サンコウ</t>
    </rPh>
    <rPh sb="11" eb="13">
      <t>ヒカク</t>
    </rPh>
    <rPh sb="14" eb="16">
      <t>ボキ</t>
    </rPh>
    <rPh sb="16" eb="17">
      <t>ム</t>
    </rPh>
    <rPh sb="21" eb="23">
      <t>キジ</t>
    </rPh>
    <phoneticPr fontId="1"/>
  </si>
  <si>
    <t>http://cloud-boki.jp/blog/npvirr/</t>
    <phoneticPr fontId="1"/>
  </si>
  <si>
    <t>問4 内部収益率法IRR</t>
    <rPh sb="0" eb="1">
      <t>トイ</t>
    </rPh>
    <rPh sb="3" eb="5">
      <t>ナイブ</t>
    </rPh>
    <rPh sb="5" eb="7">
      <t>シュウエキ</t>
    </rPh>
    <rPh sb="7" eb="8">
      <t>リツ</t>
    </rPh>
    <rPh sb="8" eb="9">
      <t>ホウ</t>
    </rPh>
    <phoneticPr fontId="1"/>
  </si>
  <si>
    <t>問3 収益性指標 PI＝Profitable Index</t>
    <rPh sb="0" eb="1">
      <t>トイ</t>
    </rPh>
    <rPh sb="3" eb="6">
      <t>シュウエキセイ</t>
    </rPh>
    <rPh sb="6" eb="8">
      <t>シヒョウ</t>
    </rPh>
    <phoneticPr fontId="1"/>
  </si>
  <si>
    <t>PI</t>
    <phoneticPr fontId="1"/>
  </si>
  <si>
    <t>←NVPでもPIでも投資案Bが勝る。</t>
    <rPh sb="10" eb="12">
      <t>トウシ</t>
    </rPh>
    <rPh sb="12" eb="13">
      <t>アン</t>
    </rPh>
    <rPh sb="15" eb="16">
      <t>マサ</t>
    </rPh>
    <phoneticPr fontId="1"/>
  </si>
  <si>
    <t xml:space="preserve">  どこを計算に使うかさえわかれば、PIは簡単で便利。</t>
    <rPh sb="5" eb="7">
      <t>ケイサン</t>
    </rPh>
    <rPh sb="8" eb="9">
      <t>ツカ</t>
    </rPh>
    <rPh sb="21" eb="23">
      <t>カンタン</t>
    </rPh>
    <rPh sb="24" eb="26">
      <t>ベンリ</t>
    </rPh>
    <phoneticPr fontId="1"/>
  </si>
  <si>
    <t>・設備投資案の評価基準につき、NPV法、PI、IRR法の考え方を比べながら学べる良問。特にNPVの計算パターンはこれが基本。</t>
    <rPh sb="1" eb="3">
      <t>セツビ</t>
    </rPh>
    <rPh sb="3" eb="5">
      <t>トウシ</t>
    </rPh>
    <rPh sb="5" eb="6">
      <t>アン</t>
    </rPh>
    <rPh sb="7" eb="9">
      <t>ヒョウカ</t>
    </rPh>
    <rPh sb="9" eb="11">
      <t>キジュン</t>
    </rPh>
    <rPh sb="18" eb="19">
      <t>ホウ</t>
    </rPh>
    <rPh sb="26" eb="27">
      <t>ホウ</t>
    </rPh>
    <rPh sb="28" eb="29">
      <t>カンガ</t>
    </rPh>
    <rPh sb="30" eb="31">
      <t>カタ</t>
    </rPh>
    <rPh sb="32" eb="33">
      <t>クラ</t>
    </rPh>
    <rPh sb="37" eb="38">
      <t>マナ</t>
    </rPh>
    <rPh sb="40" eb="41">
      <t>リョウ</t>
    </rPh>
    <rPh sb="41" eb="42">
      <t>モン</t>
    </rPh>
    <rPh sb="43" eb="44">
      <t>トク</t>
    </rPh>
    <rPh sb="49" eb="51">
      <t>ケイサン</t>
    </rPh>
    <rPh sb="59" eb="61">
      <t>キホン</t>
    </rPh>
    <phoneticPr fontId="1"/>
  </si>
  <si>
    <t>・NPVだけでなく、なぜPIやIRRが併用されるか、試験本番までにメリデメを知り納得しておけば万全。</t>
    <rPh sb="19" eb="21">
      <t>ヘイヨウ</t>
    </rPh>
    <rPh sb="26" eb="28">
      <t>シケン</t>
    </rPh>
    <rPh sb="28" eb="30">
      <t>ホンバン</t>
    </rPh>
    <rPh sb="38" eb="39">
      <t>シ</t>
    </rPh>
    <rPh sb="40" eb="42">
      <t>ナットク</t>
    </rPh>
    <rPh sb="47" eb="49">
      <t>バンゼン</t>
    </rPh>
    <phoneticPr fontId="1"/>
  </si>
  <si>
    <t>3限目 問題2   ※問題1は省略</t>
    <rPh sb="1" eb="3">
      <t>ゲンメ</t>
    </rPh>
    <rPh sb="4" eb="6">
      <t>モンダイ</t>
    </rPh>
    <rPh sb="11" eb="13">
      <t>モンダイ</t>
    </rPh>
    <rPh sb="15" eb="17">
      <t>ショウリャク</t>
    </rPh>
    <phoneticPr fontId="1"/>
  </si>
  <si>
    <t>①回収期間法</t>
    <rPh sb="1" eb="3">
      <t>カイシュウ</t>
    </rPh>
    <rPh sb="3" eb="5">
      <t>キカン</t>
    </rPh>
    <rPh sb="5" eb="6">
      <t>ホウ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</si>
  <si>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</si>
  <si>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←ここは数値が簡単。それぞれ2年、1年で回収できる。</t>
    <rPh sb="4" eb="6">
      <t>スウチ</t>
    </rPh>
    <rPh sb="7" eb="9">
      <t>カンタン</t>
    </rPh>
    <rPh sb="15" eb="16">
      <t>ネン</t>
    </rPh>
    <rPh sb="18" eb="19">
      <t>ネン</t>
    </rPh>
    <rPh sb="20" eb="22">
      <t>カイシュウ</t>
    </rPh>
    <phoneticPr fontId="1"/>
  </si>
  <si>
    <t>NPV＝①+②</t>
    <phoneticPr fontId="1"/>
  </si>
  <si>
    <t>・例題2のと同じ内容を、設定を簡単にして実際に解かせる問題。エクセルの場合、例題2のシートをコピーするとすぐ埋まる。計算パターンは常に同じと知って安心。</t>
    <rPh sb="1" eb="3">
      <t>レイダイ</t>
    </rPh>
    <rPh sb="6" eb="7">
      <t>オナ</t>
    </rPh>
    <rPh sb="8" eb="10">
      <t>ナイヨウ</t>
    </rPh>
    <rPh sb="12" eb="14">
      <t>セッテイ</t>
    </rPh>
    <rPh sb="15" eb="17">
      <t>カンタン</t>
    </rPh>
    <rPh sb="20" eb="22">
      <t>ジッサイ</t>
    </rPh>
    <rPh sb="23" eb="24">
      <t>ト</t>
    </rPh>
    <rPh sb="27" eb="29">
      <t>モンダイ</t>
    </rPh>
    <rPh sb="58" eb="60">
      <t>ケイサン</t>
    </rPh>
    <rPh sb="65" eb="66">
      <t>ツネ</t>
    </rPh>
    <rPh sb="67" eb="68">
      <t>オナ</t>
    </rPh>
    <rPh sb="70" eb="71">
      <t>シ</t>
    </rPh>
    <rPh sb="73" eb="75">
      <t>アンシン</t>
    </rPh>
    <phoneticPr fontId="1"/>
  </si>
  <si>
    <t>・イケカコの問題がこんな簡単でいいのか？  →Lecture9、10でより複雑な問題があるので、今日のLecture8は、NPVの基本的解き方を繰り返し身につければ十分。</t>
    <rPh sb="6" eb="8">
      <t>モンダイ</t>
    </rPh>
    <rPh sb="12" eb="14">
      <t>カンタン</t>
    </rPh>
    <rPh sb="37" eb="39">
      <t>フクザツ</t>
    </rPh>
    <rPh sb="40" eb="42">
      <t>モンダイ</t>
    </rPh>
    <rPh sb="48" eb="50">
      <t>キョウ</t>
    </rPh>
    <rPh sb="65" eb="68">
      <t>キホンテキ</t>
    </rPh>
    <rPh sb="68" eb="69">
      <t>ト</t>
    </rPh>
    <rPh sb="70" eb="71">
      <t>カタ</t>
    </rPh>
    <rPh sb="72" eb="73">
      <t>ク</t>
    </rPh>
    <rPh sb="74" eb="75">
      <t>カエ</t>
    </rPh>
    <rPh sb="76" eb="77">
      <t>ミ</t>
    </rPh>
    <rPh sb="82" eb="84">
      <t>ジュウブン</t>
    </rPh>
    <phoneticPr fontId="1"/>
  </si>
  <si>
    <t>Lecture 9 戦略的意思決定会計(2)</t>
    <rPh sb="10" eb="12">
      <t>センリャク</t>
    </rPh>
    <rPh sb="12" eb="13">
      <t>テキ</t>
    </rPh>
    <rPh sb="13" eb="15">
      <t>イシ</t>
    </rPh>
    <rPh sb="15" eb="17">
      <t>ケッテイ</t>
    </rPh>
    <rPh sb="17" eb="19">
      <t>カイケイ</t>
    </rPh>
    <phoneticPr fontId="1"/>
  </si>
  <si>
    <t>・Lecture8で教わったNPV法のおさらい。ただし、①税金 ②最終年の設備の処分、の2点が追加。この辺からどんどん設定が複雑になる。</t>
    <rPh sb="10" eb="11">
      <t>オソ</t>
    </rPh>
    <rPh sb="17" eb="18">
      <t>ホウ</t>
    </rPh>
    <rPh sb="29" eb="31">
      <t>ゼイキン</t>
    </rPh>
    <rPh sb="33" eb="36">
      <t>サイシュウネン</t>
    </rPh>
    <rPh sb="37" eb="39">
      <t>セツビ</t>
    </rPh>
    <rPh sb="40" eb="42">
      <t>ショブン</t>
    </rPh>
    <rPh sb="45" eb="46">
      <t>テン</t>
    </rPh>
    <rPh sb="47" eb="49">
      <t>ツイカ</t>
    </rPh>
    <rPh sb="52" eb="53">
      <t>ヘン</t>
    </rPh>
    <rPh sb="59" eb="61">
      <t>セッテイ</t>
    </rPh>
    <rPh sb="62" eb="64">
      <t>フクザツ</t>
    </rPh>
    <phoneticPr fontId="1"/>
  </si>
  <si>
    <t>･NPV法の基本→①期首の投資 ②CFの算定 ③現在価値に割り引きNVPを算定・・を思い出しながら、どこが複雑になるかを見ていく。</t>
    <rPh sb="4" eb="5">
      <t>ホウ</t>
    </rPh>
    <rPh sb="6" eb="8">
      <t>キホン</t>
    </rPh>
    <rPh sb="10" eb="12">
      <t>キシュ</t>
    </rPh>
    <rPh sb="13" eb="15">
      <t>トウシ</t>
    </rPh>
    <rPh sb="20" eb="22">
      <t>サンテイ</t>
    </rPh>
    <rPh sb="24" eb="26">
      <t>ゲンザイ</t>
    </rPh>
    <rPh sb="26" eb="28">
      <t>カチ</t>
    </rPh>
    <rPh sb="29" eb="30">
      <t>ワ</t>
    </rPh>
    <rPh sb="31" eb="32">
      <t>ビ</t>
    </rPh>
    <rPh sb="37" eb="39">
      <t>サンテイ</t>
    </rPh>
    <rPh sb="42" eb="43">
      <t>オモ</t>
    </rPh>
    <rPh sb="44" eb="45">
      <t>ダ</t>
    </rPh>
    <rPh sb="53" eb="55">
      <t>フクザツ</t>
    </rPh>
    <rPh sb="60" eb="61">
      <t>ミ</t>
    </rPh>
    <phoneticPr fontId="1"/>
  </si>
  <si>
    <t>新製品の製造設備</t>
    <rPh sb="0" eb="3">
      <t>シンセイヒン</t>
    </rPh>
    <rPh sb="4" eb="6">
      <t>セイゾウ</t>
    </rPh>
    <rPh sb="6" eb="8">
      <t>セツビ</t>
    </rPh>
    <phoneticPr fontId="1"/>
  </si>
  <si>
    <t>CIF</t>
    <phoneticPr fontId="1"/>
  </si>
  <si>
    <t>COF</t>
    <phoneticPr fontId="1"/>
  </si>
  <si>
    <t>税引後CIF BOX  単位：万円</t>
    <rPh sb="0" eb="2">
      <t>ゼイビ</t>
    </rPh>
    <rPh sb="2" eb="3">
      <t>ゴ</t>
    </rPh>
    <rPh sb="12" eb="14">
      <t>タンイ</t>
    </rPh>
    <rPh sb="15" eb="17">
      <t>マンエン</t>
    </rPh>
    <phoneticPr fontId="1"/>
  </si>
  <si>
    <t>収益</t>
    <rPh sb="0" eb="2">
      <t>シュウエキ</t>
    </rPh>
    <phoneticPr fontId="1"/>
  </si>
  <si>
    <t>費用</t>
    <rPh sb="0" eb="2">
      <t>ヒヨウ</t>
    </rPh>
    <phoneticPr fontId="1"/>
  </si>
  <si>
    <t>会計利益</t>
    <rPh sb="0" eb="2">
      <t>カイケイ</t>
    </rPh>
    <rPh sb="2" eb="4">
      <t>リエキ</t>
    </rPh>
    <phoneticPr fontId="1"/>
  </si>
  <si>
    <t>うち税額</t>
    <rPh sb="2" eb="4">
      <t>ゼイガク</t>
    </rPh>
    <phoneticPr fontId="1"/>
  </si>
  <si>
    <t>うち税引後利益</t>
    <rPh sb="2" eb="4">
      <t>ゼイビ</t>
    </rPh>
    <rPh sb="4" eb="5">
      <t>ゴ</t>
    </rPh>
    <rPh sb="5" eb="7">
      <t>リエキ</t>
    </rPh>
    <phoneticPr fontId="1"/>
  </si>
  <si>
    <t>残存価額</t>
    <rPh sb="0" eb="2">
      <t>ザンゾン</t>
    </rPh>
    <rPh sb="2" eb="4">
      <t>カガク</t>
    </rPh>
    <phoneticPr fontId="1"/>
  </si>
  <si>
    <t>期首CF</t>
    <rPh sb="0" eb="2">
      <t>キシュ</t>
    </rPh>
    <phoneticPr fontId="1"/>
  </si>
  <si>
    <t>問1 毎年のキャッシュフロー</t>
    <rPh sb="0" eb="1">
      <t>トイ</t>
    </rPh>
    <rPh sb="3" eb="5">
      <t>マイトシ</t>
    </rPh>
    <phoneticPr fontId="1"/>
  </si>
  <si>
    <t>←ここが毎年のCF。</t>
    <rPh sb="4" eb="6">
      <t>マイトシ</t>
    </rPh>
    <phoneticPr fontId="1"/>
  </si>
  <si>
    <t xml:space="preserve">   求める手順は複数パターンあるので、</t>
    <rPh sb="3" eb="4">
      <t>モト</t>
    </rPh>
    <rPh sb="6" eb="8">
      <t>テジュン</t>
    </rPh>
    <rPh sb="9" eb="11">
      <t>フクスウ</t>
    </rPh>
    <phoneticPr fontId="1"/>
  </si>
  <si>
    <t xml:space="preserve">   自分が使いやすパターンを2つ決めて練習しておくと安心。</t>
    <rPh sb="3" eb="5">
      <t>ジブン</t>
    </rPh>
    <rPh sb="6" eb="7">
      <t>ツカ</t>
    </rPh>
    <rPh sb="17" eb="18">
      <t>キ</t>
    </rPh>
    <rPh sb="20" eb="22">
      <t>レンシュウ</t>
    </rPh>
    <rPh sb="27" eb="29">
      <t>アンシン</t>
    </rPh>
    <phoneticPr fontId="1"/>
  </si>
  <si>
    <t>※簿記・会計系受験生は、この税引後CIF BOXを使うことが多い。</t>
    <rPh sb="1" eb="3">
      <t>ボキ</t>
    </rPh>
    <rPh sb="4" eb="6">
      <t>カイケイ</t>
    </rPh>
    <rPh sb="6" eb="7">
      <t>ケイ</t>
    </rPh>
    <rPh sb="7" eb="10">
      <t>ジュケンセイ</t>
    </rPh>
    <rPh sb="14" eb="16">
      <t>ゼイビ</t>
    </rPh>
    <rPh sb="16" eb="17">
      <t>ゴ</t>
    </rPh>
    <rPh sb="25" eb="26">
      <t>ツカ</t>
    </rPh>
    <rPh sb="30" eb="31">
      <t>オオ</t>
    </rPh>
    <phoneticPr fontId="1"/>
  </si>
  <si>
    <t>毎年のキャッシュフローの算定→税引後CIF BOX</t>
    <rPh sb="0" eb="2">
      <t>マイトシ</t>
    </rPh>
    <rPh sb="12" eb="14">
      <t>サンテイ</t>
    </rPh>
    <rPh sb="15" eb="17">
      <t>ゼイビキ</t>
    </rPh>
    <rPh sb="17" eb="18">
      <t>ゴ</t>
    </rPh>
    <phoneticPr fontId="1"/>
  </si>
  <si>
    <t>Y6</t>
  </si>
  <si>
    <t>Y7</t>
  </si>
  <si>
    <t>Y8</t>
  </si>
  <si>
    <t>Y9</t>
  </si>
  <si>
    <t>Y10</t>
  </si>
  <si>
    <t>Y10</t>
    <phoneticPr fontId="1"/>
  </si>
  <si>
    <t>最終年の設備処分によるCF</t>
    <rPh sb="0" eb="3">
      <t>サイシュウネン</t>
    </rPh>
    <rPh sb="4" eb="6">
      <t>セツビ</t>
    </rPh>
    <rPh sb="6" eb="8">
      <t>ショブン</t>
    </rPh>
    <phoneticPr fontId="1"/>
  </si>
  <si>
    <t>帳簿価額</t>
    <rPh sb="0" eb="2">
      <t>チョウボ</t>
    </rPh>
    <rPh sb="2" eb="4">
      <t>カガク</t>
    </rPh>
    <phoneticPr fontId="1"/>
  </si>
  <si>
    <t>処分価額</t>
    <rPh sb="0" eb="2">
      <t>ショブン</t>
    </rPh>
    <rPh sb="2" eb="4">
      <t>カガク</t>
    </rPh>
    <phoneticPr fontId="1"/>
  </si>
  <si>
    <t>うち税効果</t>
    <rPh sb="2" eb="3">
      <t>ゼイ</t>
    </rPh>
    <rPh sb="3" eb="5">
      <t>コウカ</t>
    </rPh>
    <phoneticPr fontId="1"/>
  </si>
  <si>
    <t>税効果後損失</t>
    <rPh sb="0" eb="1">
      <t>ゼイ</t>
    </rPh>
    <rPh sb="1" eb="3">
      <t>コウカ</t>
    </rPh>
    <rPh sb="3" eb="4">
      <t>ゴ</t>
    </rPh>
    <rPh sb="4" eb="6">
      <t>ソンシツ</t>
    </rPh>
    <phoneticPr fontId="1"/>
  </si>
  <si>
    <t>会計税前損失</t>
    <rPh sb="0" eb="2">
      <t>カイケイ</t>
    </rPh>
    <rPh sb="2" eb="3">
      <t>ゼイ</t>
    </rPh>
    <rPh sb="3" eb="4">
      <t>マエ</t>
    </rPh>
    <rPh sb="4" eb="6">
      <t>ソンシツ</t>
    </rPh>
    <phoneticPr fontId="1"/>
  </si>
  <si>
    <t>←処分による実際のCash In</t>
    <rPh sb="1" eb="3">
      <t>ショブン</t>
    </rPh>
    <rPh sb="6" eb="8">
      <t>ジッサイ</t>
    </rPh>
    <phoneticPr fontId="1"/>
  </si>
  <si>
    <t>↑損失のうち、税率40%だけ税が減り、Cash Outを回避した額</t>
    <rPh sb="1" eb="3">
      <t>ソンシツ</t>
    </rPh>
    <rPh sb="7" eb="9">
      <t>ゼイリツ</t>
    </rPh>
    <rPh sb="14" eb="15">
      <t>ゼイ</t>
    </rPh>
    <rPh sb="16" eb="17">
      <t>ヘ</t>
    </rPh>
    <rPh sb="28" eb="30">
      <t>カイヒ</t>
    </rPh>
    <rPh sb="32" eb="33">
      <t>ガク</t>
    </rPh>
    <phoneticPr fontId="1"/>
  </si>
  <si>
    <t>←処分に伴うCF</t>
    <rPh sb="1" eb="3">
      <t>ショブン</t>
    </rPh>
    <rPh sb="4" eb="5">
      <t>トモナ</t>
    </rPh>
    <phoneticPr fontId="1"/>
  </si>
  <si>
    <t>↓処分によるCF</t>
    <rPh sb="1" eb="3">
      <t>ショブン</t>
    </rPh>
    <phoneticPr fontId="1"/>
  </si>
  <si>
    <t>※このBOXは上図と比較するため参考で描いた。試験上の実際はもっと簡単に計算して良い。</t>
    <rPh sb="7" eb="9">
      <t>ジョウズ</t>
    </rPh>
    <rPh sb="10" eb="12">
      <t>ヒカク</t>
    </rPh>
    <rPh sb="16" eb="18">
      <t>サンコウ</t>
    </rPh>
    <rPh sb="19" eb="20">
      <t>カ</t>
    </rPh>
    <rPh sb="23" eb="25">
      <t>シケン</t>
    </rPh>
    <rPh sb="25" eb="26">
      <t>ジョウ</t>
    </rPh>
    <rPh sb="27" eb="29">
      <t>ジッサイ</t>
    </rPh>
    <rPh sb="33" eb="35">
      <t>カンタン</t>
    </rPh>
    <rPh sb="36" eb="38">
      <t>ケイサン</t>
    </rPh>
    <rPh sb="40" eb="41">
      <t>ヨ</t>
    </rPh>
    <phoneticPr fontId="1"/>
  </si>
  <si>
    <t>←NPV＞0なので、この投資案はGOサイン。</t>
    <rPh sb="12" eb="14">
      <t>トウシ</t>
    </rPh>
    <rPh sb="14" eb="15">
      <t>アン</t>
    </rPh>
    <phoneticPr fontId="1"/>
  </si>
  <si>
    <t>2限目 例題2</t>
    <rPh sb="1" eb="3">
      <t>ゲンメ</t>
    </rPh>
    <rPh sb="4" eb="6">
      <t>レイダイ</t>
    </rPh>
    <phoneticPr fontId="1"/>
  </si>
  <si>
    <t>・取替投資の例題。取替投資の場合、総額でなく新旧の発生差額で比較し、計算を簡略にすることがポイント</t>
    <rPh sb="1" eb="3">
      <t>トリカ</t>
    </rPh>
    <rPh sb="3" eb="5">
      <t>トウシ</t>
    </rPh>
    <rPh sb="6" eb="8">
      <t>レイダイ</t>
    </rPh>
    <rPh sb="9" eb="11">
      <t>トリカ</t>
    </rPh>
    <rPh sb="11" eb="13">
      <t>トウシ</t>
    </rPh>
    <rPh sb="14" eb="16">
      <t>バアイ</t>
    </rPh>
    <rPh sb="17" eb="19">
      <t>ソウガク</t>
    </rPh>
    <rPh sb="22" eb="24">
      <t>シンキュウ</t>
    </rPh>
    <rPh sb="25" eb="27">
      <t>ハッセイ</t>
    </rPh>
    <rPh sb="27" eb="29">
      <t>サガク</t>
    </rPh>
    <rPh sb="30" eb="32">
      <t>ヒカク</t>
    </rPh>
    <rPh sb="34" eb="36">
      <t>ケイサン</t>
    </rPh>
    <rPh sb="37" eb="39">
      <t>カンリャク</t>
    </rPh>
    <phoneticPr fontId="1"/>
  </si>
  <si>
    <t>新旧機械による差額原価を整理</t>
    <rPh sb="0" eb="2">
      <t>シンキュウ</t>
    </rPh>
    <rPh sb="2" eb="4">
      <t>キカイ</t>
    </rPh>
    <rPh sb="7" eb="9">
      <t>サガク</t>
    </rPh>
    <rPh sb="9" eb="11">
      <t>ゲンカ</t>
    </rPh>
    <rPh sb="12" eb="14">
      <t>セイリ</t>
    </rPh>
    <phoneticPr fontId="1"/>
  </si>
  <si>
    <t>現有機械</t>
    <rPh sb="0" eb="2">
      <t>ゲンユウ</t>
    </rPh>
    <rPh sb="2" eb="4">
      <t>キカイ</t>
    </rPh>
    <phoneticPr fontId="1"/>
  </si>
  <si>
    <t>新機械</t>
    <rPh sb="0" eb="1">
      <t>シン</t>
    </rPh>
    <rPh sb="1" eb="3">
      <t>キカイ</t>
    </rPh>
    <phoneticPr fontId="1"/>
  </si>
  <si>
    <t>取得原価</t>
    <rPh sb="0" eb="2">
      <t>シュトク</t>
    </rPh>
    <rPh sb="2" eb="4">
      <t>ゲンカ</t>
    </rPh>
    <phoneticPr fontId="1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</si>
  <si>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1"/>
  </si>
  <si>
    <t>帳簿価格</t>
    <rPh sb="0" eb="2">
      <t>チョウボ</t>
    </rPh>
    <rPh sb="2" eb="4">
      <t>カカク</t>
    </rPh>
    <phoneticPr fontId="1"/>
  </si>
  <si>
    <t>現時点での処分価額</t>
    <rPh sb="0" eb="3">
      <t>ゲンジテン</t>
    </rPh>
    <rPh sb="5" eb="7">
      <t>ショブン</t>
    </rPh>
    <rPh sb="7" eb="9">
      <t>カガク</t>
    </rPh>
    <phoneticPr fontId="1"/>
  </si>
  <si>
    <t>5年後の処分価額</t>
    <rPh sb="1" eb="3">
      <t>ネンゴ</t>
    </rPh>
    <rPh sb="4" eb="6">
      <t>ショブン</t>
    </rPh>
    <rPh sb="6" eb="8">
      <t>カガク</t>
    </rPh>
    <phoneticPr fontId="1"/>
  </si>
  <si>
    <t>残存期間</t>
    <rPh sb="0" eb="2">
      <t>ザンゾン</t>
    </rPh>
    <rPh sb="2" eb="4">
      <t>キカン</t>
    </rPh>
    <phoneticPr fontId="1"/>
  </si>
  <si>
    <t>新機械に取り換える場合の差額CF</t>
    <rPh sb="0" eb="1">
      <t>シン</t>
    </rPh>
    <rPh sb="1" eb="3">
      <t>キカイ</t>
    </rPh>
    <rPh sb="4" eb="5">
      <t>ト</t>
    </rPh>
    <rPh sb="6" eb="7">
      <t>カ</t>
    </rPh>
    <rPh sb="9" eb="11">
      <t>バアイ</t>
    </rPh>
    <rPh sb="12" eb="14">
      <t>サガク</t>
    </rPh>
    <phoneticPr fontId="1"/>
  </si>
  <si>
    <t>期首</t>
    <rPh sb="0" eb="2">
      <t>キシュ</t>
    </rPh>
    <phoneticPr fontId="1"/>
  </si>
  <si>
    <t>機械の購入</t>
    <rPh sb="0" eb="2">
      <t>キカイ</t>
    </rPh>
    <rPh sb="3" eb="5">
      <t>コウニュウ</t>
    </rPh>
    <phoneticPr fontId="1"/>
  </si>
  <si>
    <t>運転資本削減</t>
    <rPh sb="0" eb="2">
      <t>ウンテン</t>
    </rPh>
    <rPh sb="2" eb="4">
      <t>シホン</t>
    </rPh>
    <rPh sb="4" eb="6">
      <t>サクゲン</t>
    </rPh>
    <phoneticPr fontId="1"/>
  </si>
  <si>
    <t>現有機械の売却</t>
    <rPh sb="0" eb="2">
      <t>ゲンユウ</t>
    </rPh>
    <rPh sb="2" eb="4">
      <t>キカイ</t>
    </rPh>
    <rPh sb="5" eb="7">
      <t>バイキャク</t>
    </rPh>
    <phoneticPr fontId="1"/>
  </si>
  <si>
    <t>売却時税効果</t>
    <rPh sb="0" eb="2">
      <t>バイキャク</t>
    </rPh>
    <rPh sb="2" eb="3">
      <t>ジ</t>
    </rPh>
    <rPh sb="3" eb="4">
      <t>ゼイ</t>
    </rPh>
    <rPh sb="4" eb="6">
      <t>コウカ</t>
    </rPh>
    <phoneticPr fontId="1"/>
  </si>
  <si>
    <t>新機械の売却</t>
    <rPh sb="0" eb="1">
      <t>シン</t>
    </rPh>
    <rPh sb="1" eb="3">
      <t>キカイ</t>
    </rPh>
    <rPh sb="4" eb="6">
      <t>バイキャク</t>
    </rPh>
    <phoneticPr fontId="1"/>
  </si>
  <si>
    <t>帳簿価額</t>
    <rPh sb="0" eb="2">
      <t>チョウボ</t>
    </rPh>
    <rPh sb="2" eb="4">
      <t>カガク</t>
    </rPh>
    <phoneticPr fontId="1"/>
  </si>
  <si>
    <t>処分価額</t>
    <rPh sb="0" eb="2">
      <t>ショブン</t>
    </rPh>
    <rPh sb="2" eb="4">
      <t>カガク</t>
    </rPh>
    <phoneticPr fontId="1"/>
  </si>
  <si>
    <t>税効果</t>
    <rPh sb="0" eb="1">
      <t>ゼイ</t>
    </rPh>
    <rPh sb="1" eb="3">
      <t>コウカ</t>
    </rPh>
    <phoneticPr fontId="1"/>
  </si>
  <si>
    <t>CF計</t>
    <rPh sb="2" eb="3">
      <t>ケイ</t>
    </rPh>
    <phoneticPr fontId="1"/>
  </si>
  <si>
    <t>機械処分損</t>
    <rPh sb="0" eb="2">
      <t>キカイ</t>
    </rPh>
    <rPh sb="2" eb="4">
      <t>ショブン</t>
    </rPh>
    <rPh sb="4" eb="5">
      <t>ソン</t>
    </rPh>
    <phoneticPr fontId="1"/>
  </si>
  <si>
    <t>運転資本の増加</t>
    <rPh sb="0" eb="2">
      <t>ウンテン</t>
    </rPh>
    <rPh sb="2" eb="4">
      <t>シホン</t>
    </rPh>
    <rPh sb="5" eb="7">
      <t>ゾウカ</t>
    </rPh>
    <phoneticPr fontId="1"/>
  </si>
  <si>
    <t>新機械導入時、Y1～Y5で生じるCFの算定 (新旧の差額)</t>
    <rPh sb="0" eb="1">
      <t>シン</t>
    </rPh>
    <rPh sb="1" eb="3">
      <t>キカイ</t>
    </rPh>
    <rPh sb="3" eb="5">
      <t>ドウニュウ</t>
    </rPh>
    <rPh sb="5" eb="6">
      <t>ジ</t>
    </rPh>
    <rPh sb="13" eb="14">
      <t>ショウ</t>
    </rPh>
    <rPh sb="19" eb="21">
      <t>サンテイ</t>
    </rPh>
    <rPh sb="23" eb="25">
      <t>シンキュウ</t>
    </rPh>
    <rPh sb="26" eb="28">
      <t>サガク</t>
    </rPh>
    <phoneticPr fontId="1"/>
  </si>
  <si>
    <t>現金支出業務費用</t>
    <rPh sb="0" eb="2">
      <t>ゲンキン</t>
    </rPh>
    <rPh sb="2" eb="4">
      <t>シシュツ</t>
    </rPh>
    <rPh sb="4" eb="6">
      <t>ギョウム</t>
    </rPh>
    <rPh sb="6" eb="8">
      <t>ヒヨウ</t>
    </rPh>
    <phoneticPr fontId="1"/>
  </si>
  <si>
    <t>新機械</t>
    <rPh sb="0" eb="1">
      <t>シン</t>
    </rPh>
    <rPh sb="1" eb="3">
      <t>キカイ</t>
    </rPh>
    <phoneticPr fontId="1"/>
  </si>
  <si>
    <t>現有機械</t>
    <rPh sb="0" eb="2">
      <t>ゲンユウ</t>
    </rPh>
    <rPh sb="2" eb="4">
      <t>キカイ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</si>
  <si>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</si>
  <si>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差額</t>
    <rPh sb="0" eb="2">
      <t>サガク</t>
    </rPh>
    <phoneticPr fontId="1"/>
  </si>
  <si>
    <t>←CIF</t>
    <phoneticPr fontId="1"/>
  </si>
  <si>
    <t>←COF</t>
    <phoneticPr fontId="1"/>
  </si>
  <si>
    <t>支出費用(減)</t>
    <rPh sb="0" eb="2">
      <t>シシュツ</t>
    </rPh>
    <rPh sb="2" eb="4">
      <t>ヒヨウ</t>
    </rPh>
    <rPh sb="5" eb="6">
      <t>ゲン</t>
    </rPh>
    <phoneticPr fontId="1"/>
  </si>
  <si>
    <t>減価償却費(増)</t>
    <rPh sb="0" eb="2">
      <t>ゲンカ</t>
    </rPh>
    <rPh sb="2" eb="4">
      <t>ショウキャク</t>
    </rPh>
    <rPh sb="4" eb="5">
      <t>ヒ</t>
    </rPh>
    <rPh sb="6" eb="7">
      <t>ゾウ</t>
    </rPh>
    <phoneticPr fontId="1"/>
  </si>
  <si>
    <t>CIF</t>
    <phoneticPr fontId="1"/>
  </si>
  <si>
    <t>COF</t>
    <phoneticPr fontId="1"/>
  </si>
  <si>
    <t>←ここがY1～Y5に発生する差額CF</t>
    <rPh sb="10" eb="12">
      <t>ハッセイ</t>
    </rPh>
    <rPh sb="14" eb="16">
      <t>サガク</t>
    </rPh>
    <phoneticPr fontId="1"/>
  </si>
  <si>
    <t>Y1</t>
    <phoneticPr fontId="1"/>
  </si>
  <si>
    <t>Y2</t>
    <phoneticPr fontId="1"/>
  </si>
  <si>
    <t>NPV=①+②</t>
    <phoneticPr fontId="1"/>
  </si>
  <si>
    <t>5年</t>
    <rPh sb="1" eb="2">
      <t>ネン</t>
    </rPh>
    <phoneticPr fontId="1"/>
  </si>
  <si>
    <t>・当例題を初見一発で解ける人はいない。｢例題｣であることを思い出し、エクセルかイケカコ解説を見ながら、①差額でどう処理するか ②Y1～5のCFの考え方 ③処分価額の処理を知る。</t>
    <rPh sb="1" eb="2">
      <t>トウ</t>
    </rPh>
    <rPh sb="2" eb="4">
      <t>レイダイ</t>
    </rPh>
    <rPh sb="5" eb="7">
      <t>ショケン</t>
    </rPh>
    <rPh sb="7" eb="9">
      <t>イッパツ</t>
    </rPh>
    <rPh sb="10" eb="11">
      <t>ト</t>
    </rPh>
    <rPh sb="13" eb="14">
      <t>ヒト</t>
    </rPh>
    <rPh sb="20" eb="22">
      <t>レイダイ</t>
    </rPh>
    <rPh sb="29" eb="30">
      <t>オモ</t>
    </rPh>
    <rPh sb="31" eb="32">
      <t>ダ</t>
    </rPh>
    <rPh sb="43" eb="45">
      <t>カイセツ</t>
    </rPh>
    <rPh sb="46" eb="47">
      <t>ミ</t>
    </rPh>
    <rPh sb="52" eb="54">
      <t>サガク</t>
    </rPh>
    <rPh sb="57" eb="59">
      <t>ショリ</t>
    </rPh>
    <rPh sb="72" eb="73">
      <t>カンガ</t>
    </rPh>
    <rPh sb="74" eb="75">
      <t>カタ</t>
    </rPh>
    <rPh sb="77" eb="79">
      <t>ショブン</t>
    </rPh>
    <rPh sb="79" eb="81">
      <t>カガク</t>
    </rPh>
    <rPh sb="82" eb="84">
      <t>ショリ</t>
    </rPh>
    <rPh sb="85" eb="86">
      <t>シ</t>
    </rPh>
    <phoneticPr fontId="1"/>
  </si>
  <si>
    <t>2限目 例題3</t>
    <rPh sb="1" eb="3">
      <t>ゲンメ</t>
    </rPh>
    <rPh sb="4" eb="6">
      <t>レイダイ</t>
    </rPh>
    <phoneticPr fontId="1"/>
  </si>
  <si>
    <t>誤った投資経済性計算</t>
    <rPh sb="0" eb="1">
      <t>アヤマ</t>
    </rPh>
    <rPh sb="3" eb="5">
      <t>トウシ</t>
    </rPh>
    <rPh sb="5" eb="8">
      <t>ケイザイセイ</t>
    </rPh>
    <rPh sb="8" eb="10">
      <t>ケイサン</t>
    </rPh>
    <phoneticPr fontId="1"/>
  </si>
  <si>
    <t>あなたの(正しい)経済性計算</t>
    <rPh sb="5" eb="6">
      <t>タダ</t>
    </rPh>
    <rPh sb="9" eb="12">
      <t>ケイザイセイ</t>
    </rPh>
    <rPh sb="12" eb="14">
      <t>ケイサン</t>
    </rPh>
    <phoneticPr fontId="1"/>
  </si>
  <si>
    <t>必要投資額</t>
    <rPh sb="0" eb="2">
      <t>ヒツヨウ</t>
    </rPh>
    <rPh sb="2" eb="4">
      <t>トウシ</t>
    </rPh>
    <rPh sb="4" eb="5">
      <t>ガク</t>
    </rPh>
    <phoneticPr fontId="1"/>
  </si>
  <si>
    <t>新設備の購入価格</t>
    <rPh sb="0" eb="3">
      <t>シンセツビ</t>
    </rPh>
    <rPh sb="4" eb="6">
      <t>コウニュウ</t>
    </rPh>
    <rPh sb="6" eb="8">
      <t>カカク</t>
    </rPh>
    <phoneticPr fontId="1"/>
  </si>
  <si>
    <t>旧設備の処分損</t>
    <rPh sb="0" eb="3">
      <t>キュウセツビ</t>
    </rPh>
    <rPh sb="4" eb="6">
      <t>ショブン</t>
    </rPh>
    <rPh sb="6" eb="7">
      <t>ソン</t>
    </rPh>
    <phoneticPr fontId="1"/>
  </si>
  <si>
    <t>市場調査費</t>
    <rPh sb="0" eb="2">
      <t>シジョウ</t>
    </rPh>
    <rPh sb="2" eb="5">
      <t>チョウサヒ</t>
    </rPh>
    <phoneticPr fontId="1"/>
  </si>
  <si>
    <t>総投資額</t>
    <rPh sb="0" eb="4">
      <t>ソウトウシガク</t>
    </rPh>
    <phoneticPr fontId="1"/>
  </si>
  <si>
    <t>年間成果</t>
    <rPh sb="0" eb="2">
      <t>ネンカン</t>
    </rPh>
    <rPh sb="2" eb="4">
      <t>セイカ</t>
    </rPh>
    <phoneticPr fontId="1"/>
  </si>
  <si>
    <t>製品当たりの貢献</t>
    <rPh sb="0" eb="2">
      <t>セイヒン</t>
    </rPh>
    <rPh sb="2" eb="3">
      <t>ア</t>
    </rPh>
    <rPh sb="6" eb="8">
      <t>コウケン</t>
    </rPh>
    <phoneticPr fontId="1"/>
  </si>
  <si>
    <t>新設備の利用</t>
    <rPh sb="0" eb="3">
      <t>シンセツビ</t>
    </rPh>
    <rPh sb="4" eb="6">
      <t>リヨウ</t>
    </rPh>
    <phoneticPr fontId="1"/>
  </si>
  <si>
    <t>現有設備の利用</t>
    <rPh sb="0" eb="2">
      <t>ゲンユウ</t>
    </rPh>
    <rPh sb="2" eb="4">
      <t>セツビ</t>
    </rPh>
    <rPh sb="5" eb="7">
      <t>リヨウ</t>
    </rPh>
    <phoneticPr fontId="1"/>
  </si>
  <si>
    <t>貢献額の増加</t>
    <rPh sb="0" eb="2">
      <t>コウケン</t>
    </rPh>
    <rPh sb="2" eb="3">
      <t>ガク</t>
    </rPh>
    <rPh sb="4" eb="6">
      <t>ゾウカ</t>
    </rPh>
    <phoneticPr fontId="1"/>
  </si>
  <si>
    <t>収益の増加</t>
    <rPh sb="0" eb="2">
      <t>シュウエキ</t>
    </rPh>
    <rPh sb="3" eb="5">
      <t>ゾウカ</t>
    </rPh>
    <phoneticPr fontId="1"/>
  </si>
  <si>
    <t>控除)減価償却費</t>
    <rPh sb="0" eb="2">
      <t>コウジョ</t>
    </rPh>
    <rPh sb="3" eb="5">
      <t>ゲンカ</t>
    </rPh>
    <rPh sb="5" eb="7">
      <t>ショウキャク</t>
    </rPh>
    <rPh sb="7" eb="8">
      <t>ヒ</t>
    </rPh>
    <phoneticPr fontId="1"/>
  </si>
  <si>
    <t>控除)資本コスト</t>
    <rPh sb="0" eb="2">
      <t>コウジョ</t>
    </rPh>
    <rPh sb="3" eb="5">
      <t>シホン</t>
    </rPh>
    <phoneticPr fontId="1"/>
  </si>
  <si>
    <t>投資の正味効果</t>
    <rPh sb="0" eb="2">
      <t>トウシ</t>
    </rPh>
    <rPh sb="3" eb="5">
      <t>ショウミ</t>
    </rPh>
    <rPh sb="5" eb="7">
      <t>コウカ</t>
    </rPh>
    <phoneticPr fontId="1"/>
  </si>
  <si>
    <t>処分損による税効果</t>
    <rPh sb="0" eb="2">
      <t>ショブン</t>
    </rPh>
    <rPh sb="2" eb="3">
      <t>ソン</t>
    </rPh>
    <rPh sb="6" eb="7">
      <t>ゼイ</t>
    </rPh>
    <rPh sb="7" eb="9">
      <t>コウカ</t>
    </rPh>
    <phoneticPr fontId="1"/>
  </si>
  <si>
    <t>埋没費用は含めない</t>
    <rPh sb="0" eb="2">
      <t>マイボツ</t>
    </rPh>
    <rPh sb="2" eb="4">
      <t>ヒヨウ</t>
    </rPh>
    <rPh sb="5" eb="6">
      <t>フク</t>
    </rPh>
    <phoneticPr fontId="1"/>
  </si>
  <si>
    <t>キャッシュベースで考える場合、会計上の処分損は考慮しない。</t>
    <rPh sb="9" eb="10">
      <t>カンガ</t>
    </rPh>
    <rPh sb="12" eb="14">
      <t>バアイ</t>
    </rPh>
    <rPh sb="15" eb="17">
      <t>カイケイ</t>
    </rPh>
    <rPh sb="17" eb="18">
      <t>ジョウ</t>
    </rPh>
    <rPh sb="19" eb="21">
      <t>ショブン</t>
    </rPh>
    <rPh sb="21" eb="22">
      <t>ソン</t>
    </rPh>
    <rPh sb="23" eb="25">
      <t>コウリョ</t>
    </rPh>
    <phoneticPr fontId="1"/>
  </si>
  <si>
    <t>逆に、売却損によるTS(タックスシールド) 50%分を控除する。</t>
    <rPh sb="0" eb="1">
      <t>ギャク</t>
    </rPh>
    <rPh sb="3" eb="6">
      <t>バイキャクソン</t>
    </rPh>
    <rPh sb="25" eb="26">
      <t>ブン</t>
    </rPh>
    <rPh sb="27" eb="29">
      <t>コウジョ</t>
    </rPh>
    <phoneticPr fontId="1"/>
  </si>
  <si>
    <t>旧設備</t>
    <rPh sb="0" eb="3">
      <t>キュウセツビ</t>
    </rPh>
    <phoneticPr fontId="1"/>
  </si>
  <si>
    <t>新設備</t>
    <rPh sb="0" eb="1">
      <t>シン</t>
    </rPh>
    <rPh sb="1" eb="3">
      <t>セツビ</t>
    </rPh>
    <phoneticPr fontId="1"/>
  </si>
  <si>
    <t>差</t>
    <rPh sb="0" eb="1">
      <t>サ</t>
    </rPh>
    <phoneticPr fontId="1"/>
  </si>
  <si>
    <t>処分時の税効果</t>
    <rPh sb="0" eb="2">
      <t>ショブン</t>
    </rPh>
    <rPh sb="2" eb="3">
      <t>ジ</t>
    </rPh>
    <rPh sb="4" eb="5">
      <t>ゼイ</t>
    </rPh>
    <rPh sb="5" eb="7">
      <t>コウカ</t>
    </rPh>
    <phoneticPr fontId="1"/>
  </si>
  <si>
    <t>新設備</t>
    <rPh sb="0" eb="3">
      <t>シンセツビ</t>
    </rPh>
    <phoneticPr fontId="1"/>
  </si>
  <si>
    <t>←当問ではNPVは聞かれていない。参考</t>
    <rPh sb="1" eb="2">
      <t>トウ</t>
    </rPh>
    <rPh sb="2" eb="3">
      <t>モン</t>
    </rPh>
    <rPh sb="9" eb="10">
      <t>キ</t>
    </rPh>
    <rPh sb="17" eb="19">
      <t>サンコウ</t>
    </rPh>
    <phoneticPr fontId="1"/>
  </si>
  <si>
    <t>関数によるIRRの計算</t>
    <rPh sb="0" eb="2">
      <t>カンスウ</t>
    </rPh>
    <rPh sb="9" eb="11">
      <t>ケイサン</t>
    </rPh>
    <phoneticPr fontId="1"/>
  </si>
  <si>
    <t>タイムテーブルでキャッシュフローを示す。</t>
    <rPh sb="17" eb="18">
      <t>シメ</t>
    </rPh>
    <phoneticPr fontId="1"/>
  </si>
  <si>
    <t>※イケカコがいう(4)式</t>
    <rPh sb="11" eb="12">
      <t>シキ</t>
    </rPh>
    <phoneticPr fontId="1"/>
  </si>
  <si>
    <t>税引後CIF BOX(差額)</t>
    <rPh sb="0" eb="2">
      <t>ゼイビキ</t>
    </rPh>
    <rPh sb="2" eb="3">
      <t>ゴ</t>
    </rPh>
    <rPh sb="11" eb="13">
      <t>サガク</t>
    </rPh>
    <phoneticPr fontId="1"/>
  </si>
  <si>
    <t xml:space="preserve">   税引後CF＝(1－税率)×(収益―現金流出を伴う費用)＋減価償却費×税率</t>
    <rPh sb="3" eb="5">
      <t>ゼイビキ</t>
    </rPh>
    <rPh sb="5" eb="6">
      <t>ゴ</t>
    </rPh>
    <rPh sb="12" eb="14">
      <t>ゼイリツ</t>
    </rPh>
    <rPh sb="17" eb="19">
      <t>シュウエキ</t>
    </rPh>
    <rPh sb="20" eb="22">
      <t>ゲンキン</t>
    </rPh>
    <rPh sb="22" eb="24">
      <t>リュウシュツ</t>
    </rPh>
    <rPh sb="25" eb="26">
      <t>トモナ</t>
    </rPh>
    <rPh sb="27" eb="29">
      <t>ヒヨウ</t>
    </rPh>
    <rPh sb="31" eb="33">
      <t>ゲンカ</t>
    </rPh>
    <rPh sb="33" eb="35">
      <t>ショウキャク</t>
    </rPh>
    <rPh sb="35" eb="36">
      <t>ヒ</t>
    </rPh>
    <rPh sb="37" eb="39">
      <t>ゼイリツ</t>
    </rPh>
    <phoneticPr fontId="1"/>
  </si>
  <si>
    <t>↑この式で覚えて解くこともできる。</t>
    <rPh sb="3" eb="4">
      <t>シキ</t>
    </rPh>
    <rPh sb="5" eb="6">
      <t>オボ</t>
    </rPh>
    <rPh sb="8" eb="9">
      <t>ト</t>
    </rPh>
    <phoneticPr fontId="1"/>
  </si>
  <si>
    <t xml:space="preserve">   ただし当問の様に複雑(差額)になると、以下のCIF BOXを使う方が、視覚的にわかりやすい</t>
    <rPh sb="6" eb="7">
      <t>トウ</t>
    </rPh>
    <rPh sb="7" eb="8">
      <t>モン</t>
    </rPh>
    <rPh sb="9" eb="10">
      <t>ヨウ</t>
    </rPh>
    <rPh sb="11" eb="13">
      <t>フクザツ</t>
    </rPh>
    <rPh sb="14" eb="16">
      <t>サガク</t>
    </rPh>
    <rPh sb="22" eb="24">
      <t>イカ</t>
    </rPh>
    <rPh sb="33" eb="34">
      <t>ツカ</t>
    </rPh>
    <rPh sb="35" eb="36">
      <t>ホウ</t>
    </rPh>
    <rPh sb="38" eb="41">
      <t>シカクテキ</t>
    </rPh>
    <phoneticPr fontId="1"/>
  </si>
  <si>
    <t>←ここが新旧設備の差額CF</t>
    <rPh sb="4" eb="6">
      <t>シンキュウ</t>
    </rPh>
    <rPh sb="6" eb="8">
      <t>セツビ</t>
    </rPh>
    <rPh sb="9" eb="11">
      <t>サガク</t>
    </rPh>
    <phoneticPr fontId="1"/>
  </si>
  <si>
    <t>・当問は｢誤文訂正｣という、簿記・会計士試験特有の出題形式をとるが、そこは問われていないので、悩む時間がもったいない。</t>
    <rPh sb="1" eb="2">
      <t>トウ</t>
    </rPh>
    <rPh sb="2" eb="3">
      <t>モン</t>
    </rPh>
    <rPh sb="5" eb="6">
      <t>ゴ</t>
    </rPh>
    <rPh sb="6" eb="7">
      <t>ブン</t>
    </rPh>
    <rPh sb="7" eb="9">
      <t>テイセイ</t>
    </rPh>
    <rPh sb="14" eb="16">
      <t>ボキ</t>
    </rPh>
    <rPh sb="17" eb="19">
      <t>カイケイ</t>
    </rPh>
    <rPh sb="19" eb="20">
      <t>シ</t>
    </rPh>
    <rPh sb="20" eb="22">
      <t>シケン</t>
    </rPh>
    <rPh sb="22" eb="24">
      <t>トクユウ</t>
    </rPh>
    <rPh sb="25" eb="27">
      <t>シュツダイ</t>
    </rPh>
    <rPh sb="27" eb="29">
      <t>ケイシキ</t>
    </rPh>
    <rPh sb="37" eb="38">
      <t>ト</t>
    </rPh>
    <rPh sb="47" eb="48">
      <t>ナヤ</t>
    </rPh>
    <rPh sb="49" eb="51">
      <t>ジカン</t>
    </rPh>
    <phoneticPr fontId="1"/>
  </si>
  <si>
    <t>・NPVは｢キャッシュベース｣で考えるため、①会計的利益との違い ②経済的効果=税引後CIF BOXの書き方の練習問題として使う。</t>
    <rPh sb="16" eb="17">
      <t>カンガ</t>
    </rPh>
    <rPh sb="23" eb="26">
      <t>カイケイテキ</t>
    </rPh>
    <rPh sb="26" eb="28">
      <t>リエキ</t>
    </rPh>
    <rPh sb="30" eb="31">
      <t>チガ</t>
    </rPh>
    <rPh sb="34" eb="37">
      <t>ケイザイテキ</t>
    </rPh>
    <rPh sb="37" eb="39">
      <t>コウカ</t>
    </rPh>
    <rPh sb="40" eb="42">
      <t>ゼイビキ</t>
    </rPh>
    <rPh sb="42" eb="43">
      <t>ゴ</t>
    </rPh>
    <rPh sb="51" eb="52">
      <t>カ</t>
    </rPh>
    <rPh sb="53" eb="54">
      <t>カタ</t>
    </rPh>
    <rPh sb="55" eb="57">
      <t>レンシュウ</t>
    </rPh>
    <rPh sb="57" eb="59">
      <t>モンダイ</t>
    </rPh>
    <rPh sb="62" eb="63">
      <t>ツカ</t>
    </rPh>
    <phoneticPr fontId="1"/>
  </si>
  <si>
    <t>3限目 問題1</t>
    <rPh sb="1" eb="3">
      <t>ゲンメ</t>
    </rPh>
    <rPh sb="4" eb="6">
      <t>モンダイ</t>
    </rPh>
    <phoneticPr fontId="1"/>
  </si>
  <si>
    <t>取替を行う場合のNPV</t>
    <rPh sb="0" eb="2">
      <t>トリカエ</t>
    </rPh>
    <rPh sb="3" eb="4">
      <t>オコナ</t>
    </rPh>
    <rPh sb="5" eb="7">
      <t>バアイ</t>
    </rPh>
    <phoneticPr fontId="1"/>
  </si>
  <si>
    <t>現在稼働中の機械</t>
    <rPh sb="0" eb="2">
      <t>ゲンザイ</t>
    </rPh>
    <rPh sb="2" eb="5">
      <t>カドウチュウ</t>
    </rPh>
    <rPh sb="6" eb="8">
      <t>キカイ</t>
    </rPh>
    <phoneticPr fontId="1"/>
  </si>
  <si>
    <t>取得原価</t>
    <rPh sb="0" eb="2">
      <t>シュトク</t>
    </rPh>
    <rPh sb="2" eb="4">
      <t>ゲンカ</t>
    </rPh>
    <phoneticPr fontId="1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</si>
  <si>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1"/>
  </si>
  <si>
    <t>残存価額</t>
    <rPh sb="0" eb="2">
      <t>ザンゾン</t>
    </rPh>
    <rPh sb="2" eb="4">
      <t>カガク</t>
    </rPh>
    <phoneticPr fontId="1"/>
  </si>
  <si>
    <t>売却収入</t>
    <rPh sb="0" eb="2">
      <t>バイキャク</t>
    </rPh>
    <rPh sb="2" eb="4">
      <t>シュウニュウ</t>
    </rPh>
    <phoneticPr fontId="1"/>
  </si>
  <si>
    <t>売却損</t>
    <rPh sb="0" eb="2">
      <t>バイキャク</t>
    </rPh>
    <rPh sb="2" eb="3">
      <t>ソン</t>
    </rPh>
    <phoneticPr fontId="1"/>
  </si>
  <si>
    <t>TS</t>
    <phoneticPr fontId="1"/>
  </si>
  <si>
    <t>・取替投資ときたら、①期首投資 ②期中の差額CF  ③期末売却損のタックスシールドTS、と計算要素を素早く思い浮かべる。設定を整理できれば計算するだけ。</t>
    <rPh sb="1" eb="3">
      <t>トリカエ</t>
    </rPh>
    <rPh sb="3" eb="5">
      <t>トウシ</t>
    </rPh>
    <rPh sb="11" eb="13">
      <t>キシュ</t>
    </rPh>
    <rPh sb="13" eb="15">
      <t>トウシ</t>
    </rPh>
    <rPh sb="17" eb="19">
      <t>キチュウ</t>
    </rPh>
    <rPh sb="20" eb="22">
      <t>サガク</t>
    </rPh>
    <rPh sb="27" eb="29">
      <t>キマツ</t>
    </rPh>
    <rPh sb="29" eb="32">
      <t>バイキャクソン</t>
    </rPh>
    <rPh sb="45" eb="47">
      <t>ケイサン</t>
    </rPh>
    <rPh sb="47" eb="49">
      <t>ヨウソ</t>
    </rPh>
    <rPh sb="50" eb="52">
      <t>スバヤ</t>
    </rPh>
    <rPh sb="53" eb="54">
      <t>オモ</t>
    </rPh>
    <rPh sb="55" eb="56">
      <t>ウ</t>
    </rPh>
    <rPh sb="60" eb="62">
      <t>セッテイ</t>
    </rPh>
    <rPh sb="63" eb="65">
      <t>セイリ</t>
    </rPh>
    <rPh sb="69" eb="71">
      <t>ケイサン</t>
    </rPh>
    <phoneticPr fontId="1"/>
  </si>
  <si>
    <t>←このCash Inを新機械の投資額から控除</t>
    <rPh sb="11" eb="12">
      <t>シン</t>
    </rPh>
    <rPh sb="12" eb="14">
      <t>キカイ</t>
    </rPh>
    <rPh sb="15" eb="17">
      <t>トウシ</t>
    </rPh>
    <rPh sb="17" eb="18">
      <t>ガク</t>
    </rPh>
    <rPh sb="20" eb="22">
      <t>コウジョ</t>
    </rPh>
    <phoneticPr fontId="1"/>
  </si>
  <si>
    <t>Y1</t>
    <phoneticPr fontId="1"/>
  </si>
  <si>
    <t>Y2</t>
  </si>
  <si>
    <t>新機械の購入</t>
    <rPh sb="0" eb="1">
      <t>シン</t>
    </rPh>
    <rPh sb="1" eb="3">
      <t>キカイ</t>
    </rPh>
    <rPh sb="4" eb="6">
      <t>コウニュウ</t>
    </rPh>
    <phoneticPr fontId="1"/>
  </si>
  <si>
    <t>新機械の売却収入とTS</t>
    <rPh sb="0" eb="1">
      <t>シン</t>
    </rPh>
    <rPh sb="1" eb="3">
      <t>キカイ</t>
    </rPh>
    <rPh sb="4" eb="6">
      <t>バイキャク</t>
    </rPh>
    <rPh sb="6" eb="8">
      <t>シュウニュウ</t>
    </rPh>
    <phoneticPr fontId="1"/>
  </si>
  <si>
    <t>売却益</t>
    <rPh sb="0" eb="2">
      <t>バイキャク</t>
    </rPh>
    <rPh sb="2" eb="3">
      <t>エキ</t>
    </rPh>
    <phoneticPr fontId="1"/>
  </si>
  <si>
    <t>逆TS</t>
    <rPh sb="0" eb="1">
      <t>ギャク</t>
    </rPh>
    <phoneticPr fontId="1"/>
  </si>
  <si>
    <t>←このCash Inは1年後に数える</t>
    <rPh sb="12" eb="14">
      <t>ネンゴ</t>
    </rPh>
    <rPh sb="15" eb="16">
      <t>カゾ</t>
    </rPh>
    <phoneticPr fontId="1"/>
  </si>
  <si>
    <t>取替えない場合のCF</t>
    <rPh sb="0" eb="2">
      <t>トリカエ</t>
    </rPh>
    <rPh sb="5" eb="7">
      <t>バアイ</t>
    </rPh>
    <phoneticPr fontId="1"/>
  </si>
  <si>
    <t>旧機械の売却収入とTS</t>
    <rPh sb="0" eb="1">
      <t>キュウ</t>
    </rPh>
    <rPh sb="1" eb="3">
      <t>キカイ</t>
    </rPh>
    <rPh sb="4" eb="6">
      <t>バイキャク</t>
    </rPh>
    <rPh sb="6" eb="8">
      <t>シュウニュウ</t>
    </rPh>
    <phoneticPr fontId="1"/>
  </si>
  <si>
    <t>TS</t>
    <phoneticPr fontId="1"/>
  </si>
  <si>
    <t>←取り替えない方がNPVが高い。</t>
    <rPh sb="1" eb="2">
      <t>ト</t>
    </rPh>
    <rPh sb="3" eb="4">
      <t>カ</t>
    </rPh>
    <rPh sb="7" eb="8">
      <t>ホウ</t>
    </rPh>
    <rPh sb="13" eb="14">
      <t>タカ</t>
    </rPh>
    <phoneticPr fontId="1"/>
  </si>
  <si>
    <t>・当問は、②の与え方がシンプルなので、①期首投資 ③期末売却損の計算練習に集中できる良問。</t>
    <rPh sb="1" eb="2">
      <t>トウ</t>
    </rPh>
    <rPh sb="2" eb="3">
      <t>モン</t>
    </rPh>
    <rPh sb="7" eb="8">
      <t>アタ</t>
    </rPh>
    <rPh sb="9" eb="10">
      <t>カタ</t>
    </rPh>
    <rPh sb="20" eb="22">
      <t>キシュ</t>
    </rPh>
    <rPh sb="22" eb="24">
      <t>トウシ</t>
    </rPh>
    <rPh sb="26" eb="28">
      <t>キマツ</t>
    </rPh>
    <rPh sb="28" eb="31">
      <t>バイキャクソン</t>
    </rPh>
    <rPh sb="32" eb="34">
      <t>ケイサン</t>
    </rPh>
    <rPh sb="34" eb="36">
      <t>レンシュウ</t>
    </rPh>
    <rPh sb="37" eb="39">
      <t>シュウチュウ</t>
    </rPh>
    <rPh sb="42" eb="44">
      <t>リョウモン</t>
    </rPh>
    <phoneticPr fontId="1"/>
  </si>
  <si>
    <t>3限目 問題2</t>
    <rPh sb="1" eb="3">
      <t>ゲンメ</t>
    </rPh>
    <rPh sb="4" eb="6">
      <t>モンダイ</t>
    </rPh>
    <phoneticPr fontId="1"/>
  </si>
  <si>
    <t>問1 標準原価計算</t>
    <rPh sb="0" eb="1">
      <t>トイ</t>
    </rPh>
    <rPh sb="3" eb="5">
      <t>ヒョウジュン</t>
    </rPh>
    <rPh sb="5" eb="7">
      <t>ゲンカ</t>
    </rPh>
    <rPh sb="7" eb="9">
      <t>ケイサン</t>
    </rPh>
    <phoneticPr fontId="1"/>
  </si>
  <si>
    <t>標準原価カード</t>
    <rPh sb="0" eb="2">
      <t>ヒョウジュン</t>
    </rPh>
    <rPh sb="2" eb="4">
      <t>ゲンカ</t>
    </rPh>
    <phoneticPr fontId="1"/>
  </si>
  <si>
    <t>販売価格</t>
    <rPh sb="0" eb="2">
      <t>ハンバイ</t>
    </rPh>
    <rPh sb="2" eb="4">
      <t>カカク</t>
    </rPh>
    <phoneticPr fontId="1"/>
  </si>
  <si>
    <t>直接材料費</t>
    <rPh sb="0" eb="2">
      <t>チョクセツ</t>
    </rPh>
    <rPh sb="2" eb="5">
      <t>ザイリョウヒ</t>
    </rPh>
    <phoneticPr fontId="1"/>
  </si>
  <si>
    <t>変動製造経費</t>
    <rPh sb="0" eb="2">
      <t>ヘンドウ</t>
    </rPh>
    <rPh sb="2" eb="4">
      <t>セイゾウ</t>
    </rPh>
    <rPh sb="4" eb="6">
      <t>ケイヒ</t>
    </rPh>
    <phoneticPr fontId="1"/>
  </si>
  <si>
    <t>直接労務費</t>
    <rPh sb="0" eb="2">
      <t>チョクセツ</t>
    </rPh>
    <rPh sb="2" eb="5">
      <t>ロウムヒ</t>
    </rPh>
    <phoneticPr fontId="1"/>
  </si>
  <si>
    <t>変動販売費</t>
    <rPh sb="0" eb="2">
      <t>ヘンドウ</t>
    </rPh>
    <rPh sb="2" eb="5">
      <t>ハンバイヒ</t>
    </rPh>
    <phoneticPr fontId="1"/>
  </si>
  <si>
    <t>※到底当たらないが、問題指示は｢給与｣＝全て固定費となる。</t>
    <rPh sb="1" eb="3">
      <t>トウテイ</t>
    </rPh>
    <rPh sb="3" eb="4">
      <t>ア</t>
    </rPh>
    <rPh sb="10" eb="12">
      <t>モンダイ</t>
    </rPh>
    <rPh sb="12" eb="14">
      <t>シジ</t>
    </rPh>
    <rPh sb="16" eb="18">
      <t>キュウヨ</t>
    </rPh>
    <rPh sb="20" eb="21">
      <t>スベ</t>
    </rPh>
    <rPh sb="22" eb="25">
      <t>コテイヒ</t>
    </rPh>
    <phoneticPr fontId="1"/>
  </si>
  <si>
    <t>変動製造原価</t>
    <rPh sb="0" eb="2">
      <t>ヘンドウ</t>
    </rPh>
    <rPh sb="2" eb="4">
      <t>セイゾウ</t>
    </rPh>
    <rPh sb="4" eb="6">
      <t>ゲンカ</t>
    </rPh>
    <phoneticPr fontId="1"/>
  </si>
  <si>
    <t>限界利益</t>
    <rPh sb="0" eb="2">
      <t>ゲンカイ</t>
    </rPh>
    <rPh sb="2" eb="4">
      <t>リエキ</t>
    </rPh>
    <phoneticPr fontId="1"/>
  </si>
  <si>
    <t>変動物流費</t>
    <rPh sb="0" eb="2">
      <t>ヘンドウ</t>
    </rPh>
    <rPh sb="2" eb="4">
      <t>ブツリュウ</t>
    </rPh>
    <rPh sb="4" eb="5">
      <t>ヒ</t>
    </rPh>
    <phoneticPr fontId="1"/>
  </si>
  <si>
    <t>変動販管費</t>
    <rPh sb="0" eb="2">
      <t>ヘンドウ</t>
    </rPh>
    <rPh sb="2" eb="5">
      <t>ハンカンヒ</t>
    </rPh>
    <phoneticPr fontId="1"/>
  </si>
  <si>
    <t>変動製造マージン</t>
    <rPh sb="0" eb="2">
      <t>ヘンドウ</t>
    </rPh>
    <rPh sb="2" eb="4">
      <t>セイゾウ</t>
    </rPh>
    <phoneticPr fontId="1"/>
  </si>
  <si>
    <t>問2</t>
    <rPh sb="0" eb="1">
      <t>トイ</t>
    </rPh>
    <phoneticPr fontId="1"/>
  </si>
  <si>
    <t>直接原価計算PL</t>
    <rPh sb="0" eb="2">
      <t>チョクセツ</t>
    </rPh>
    <rPh sb="2" eb="4">
      <t>ゲンカ</t>
    </rPh>
    <rPh sb="4" eb="6">
      <t>ケイサン</t>
    </rPh>
    <phoneticPr fontId="1"/>
  </si>
  <si>
    <t>販売個数</t>
    <rPh sb="0" eb="2">
      <t>ハンバイ</t>
    </rPh>
    <rPh sb="2" eb="4">
      <t>コスウ</t>
    </rPh>
    <phoneticPr fontId="1"/>
  </si>
  <si>
    <t>変動売上原価</t>
    <rPh sb="0" eb="2">
      <t>ヘンドウ</t>
    </rPh>
    <rPh sb="2" eb="4">
      <t>ウリアゲ</t>
    </rPh>
    <rPh sb="4" eb="6">
      <t>ゲンカ</t>
    </rPh>
    <phoneticPr fontId="1"/>
  </si>
  <si>
    <t>変動｢売上原価｣</t>
    <rPh sb="0" eb="2">
      <t>ヘンドウ</t>
    </rPh>
    <rPh sb="3" eb="5">
      <t>ウリアゲ</t>
    </rPh>
    <rPh sb="5" eb="7">
      <t>ゲンカ</t>
    </rPh>
    <phoneticPr fontId="1"/>
  </si>
  <si>
    <t>↓｢売上原価｣ならこちらで正解</t>
    <rPh sb="2" eb="4">
      <t>ウリアゲ</t>
    </rPh>
    <rPh sb="4" eb="6">
      <t>ゲンカ</t>
    </rPh>
    <rPh sb="13" eb="15">
      <t>セイカイ</t>
    </rPh>
    <phoneticPr fontId="1"/>
  </si>
  <si>
    <t>問3 時間価値を考慮しない会計上利益の損得</t>
    <rPh sb="0" eb="1">
      <t>トイ</t>
    </rPh>
    <rPh sb="3" eb="5">
      <t>ジカン</t>
    </rPh>
    <rPh sb="5" eb="7">
      <t>カチ</t>
    </rPh>
    <rPh sb="8" eb="10">
      <t>コウリョ</t>
    </rPh>
    <rPh sb="13" eb="15">
      <t>カイケイ</t>
    </rPh>
    <rPh sb="15" eb="16">
      <t>ジョウ</t>
    </rPh>
    <rPh sb="16" eb="18">
      <t>リエキ</t>
    </rPh>
    <rPh sb="19" eb="21">
      <t>ソントク</t>
    </rPh>
    <phoneticPr fontId="1"/>
  </si>
  <si>
    <t>協賛金</t>
    <rPh sb="0" eb="3">
      <t>キョウサンキン</t>
    </rPh>
    <phoneticPr fontId="1"/>
  </si>
  <si>
    <t>販促費</t>
    <rPh sb="0" eb="2">
      <t>ハンソク</t>
    </rPh>
    <rPh sb="2" eb="3">
      <t>ヒ</t>
    </rPh>
    <phoneticPr fontId="1"/>
  </si>
  <si>
    <t>支払利息</t>
    <rPh sb="0" eb="2">
      <t>シハラ</t>
    </rPh>
    <rPh sb="2" eb="4">
      <t>リソク</t>
    </rPh>
    <phoneticPr fontId="1"/>
  </si>
  <si>
    <t>受取利息</t>
    <rPh sb="0" eb="2">
      <t>ウケトリ</t>
    </rPh>
    <rPh sb="2" eb="4">
      <t>リソク</t>
    </rPh>
    <phoneticPr fontId="1"/>
  </si>
  <si>
    <t>その他固定費回収</t>
    <rPh sb="2" eb="3">
      <t>タ</t>
    </rPh>
    <rPh sb="3" eb="6">
      <t>コテイヒ</t>
    </rPh>
    <rPh sb="6" eb="8">
      <t>カイシュウ</t>
    </rPh>
    <phoneticPr fontId="1"/>
  </si>
  <si>
    <t>Y1</t>
    <phoneticPr fontId="1"/>
  </si>
  <si>
    <t>Y3</t>
    <phoneticPr fontId="1"/>
  </si>
  <si>
    <t>融資残高</t>
    <rPh sb="0" eb="2">
      <t>ユウシ</t>
    </rPh>
    <rPh sb="2" eb="4">
      <t>ザンダカ</t>
    </rPh>
    <phoneticPr fontId="1"/>
  </si>
  <si>
    <t>貸付利率</t>
    <rPh sb="0" eb="2">
      <t>カシツケ</t>
    </rPh>
    <rPh sb="2" eb="4">
      <t>リリツ</t>
    </rPh>
    <phoneticPr fontId="1"/>
  </si>
  <si>
    <t>資本コスト</t>
    <rPh sb="0" eb="2">
      <t>シホン</t>
    </rPh>
    <phoneticPr fontId="1"/>
  </si>
  <si>
    <t>直接利益</t>
    <rPh sb="0" eb="2">
      <t>チョクセツ</t>
    </rPh>
    <rPh sb="2" eb="4">
      <t>リエキ</t>
    </rPh>
    <phoneticPr fontId="1"/>
  </si>
  <si>
    <t>調整後の固定費</t>
    <rPh sb="0" eb="3">
      <t>チョウセイゴ</t>
    </rPh>
    <rPh sb="4" eb="7">
      <t>コテイヒ</t>
    </rPh>
    <phoneticPr fontId="1"/>
  </si>
  <si>
    <t>SBEP(個数)</t>
    <rPh sb="5" eb="7">
      <t>コスウ</t>
    </rPh>
    <phoneticPr fontId="1"/>
  </si>
  <si>
    <t>個数＝Sとする</t>
    <rPh sb="0" eb="2">
      <t>コスウ</t>
    </rPh>
    <phoneticPr fontId="1"/>
  </si>
  <si>
    <t>S×3,870×0.7＋</t>
    <phoneticPr fontId="1"/>
  </si>
  <si>
    <t>←ここは方程式を関数にいれただけ。式は気にしない。</t>
    <rPh sb="4" eb="7">
      <t>ホウテイシキ</t>
    </rPh>
    <rPh sb="8" eb="10">
      <t>カンスウ</t>
    </rPh>
    <rPh sb="17" eb="18">
      <t>シキ</t>
    </rPh>
    <rPh sb="19" eb="20">
      <t>キ</t>
    </rPh>
    <phoneticPr fontId="1"/>
  </si>
  <si>
    <t>問5 SBEP</t>
    <rPh sb="0" eb="1">
      <t>トイ</t>
    </rPh>
    <phoneticPr fontId="1"/>
  </si>
  <si>
    <t>問4 省略</t>
    <rPh sb="0" eb="1">
      <t>トイ</t>
    </rPh>
    <rPh sb="3" eb="5">
      <t>ショウリャク</t>
    </rPh>
    <phoneticPr fontId="1"/>
  </si>
  <si>
    <t>問６ その他固定費(埋没原価)を除き、会計利益を出す</t>
    <rPh sb="0" eb="1">
      <t>トイ</t>
    </rPh>
    <rPh sb="5" eb="6">
      <t>タ</t>
    </rPh>
    <rPh sb="6" eb="9">
      <t>コテイヒ</t>
    </rPh>
    <rPh sb="10" eb="12">
      <t>マイボツ</t>
    </rPh>
    <rPh sb="12" eb="14">
      <t>ゲンカ</t>
    </rPh>
    <rPh sb="16" eb="17">
      <t>ノゾ</t>
    </rPh>
    <rPh sb="19" eb="21">
      <t>カイケイ</t>
    </rPh>
    <rPh sb="21" eb="23">
      <t>リエキ</t>
    </rPh>
    <rPh sb="24" eb="25">
      <t>ダ</t>
    </rPh>
    <phoneticPr fontId="1"/>
  </si>
  <si>
    <t>問7 NPVを求める</t>
    <rPh sb="0" eb="1">
      <t>トイ</t>
    </rPh>
    <rPh sb="7" eb="8">
      <t>モト</t>
    </rPh>
    <phoneticPr fontId="1"/>
  </si>
  <si>
    <t>問題指示により、支払/受取利息は計算から除く</t>
    <rPh sb="0" eb="2">
      <t>モンダイ</t>
    </rPh>
    <rPh sb="2" eb="4">
      <t>シジ</t>
    </rPh>
    <rPh sb="8" eb="10">
      <t>シハラ</t>
    </rPh>
    <rPh sb="11" eb="13">
      <t>ウケトリ</t>
    </rPh>
    <rPh sb="13" eb="15">
      <t>リソク</t>
    </rPh>
    <rPh sb="16" eb="18">
      <t>ケイサン</t>
    </rPh>
    <rPh sb="20" eb="21">
      <t>ノゾ</t>
    </rPh>
    <phoneticPr fontId="1"/>
  </si>
  <si>
    <t>・当問は問1～５までが直接原価計算とCVPの問題。問５はCVPを個数で解くやり方をしっておくと、計算が簡略になると知っておく。</t>
    <rPh sb="1" eb="2">
      <t>トウ</t>
    </rPh>
    <rPh sb="2" eb="3">
      <t>モン</t>
    </rPh>
    <rPh sb="4" eb="5">
      <t>トイ</t>
    </rPh>
    <rPh sb="11" eb="13">
      <t>チョクセツ</t>
    </rPh>
    <rPh sb="13" eb="15">
      <t>ゲンカ</t>
    </rPh>
    <rPh sb="15" eb="17">
      <t>ケイサン</t>
    </rPh>
    <rPh sb="22" eb="24">
      <t>モンダイ</t>
    </rPh>
    <rPh sb="25" eb="26">
      <t>トイ</t>
    </rPh>
    <rPh sb="32" eb="34">
      <t>コスウ</t>
    </rPh>
    <rPh sb="35" eb="36">
      <t>ト</t>
    </rPh>
    <rPh sb="39" eb="40">
      <t>カタ</t>
    </rPh>
    <rPh sb="48" eb="50">
      <t>ケイサン</t>
    </rPh>
    <rPh sb="51" eb="53">
      <t>カンリャク</t>
    </rPh>
    <rPh sb="57" eb="58">
      <t>シ</t>
    </rPh>
    <phoneticPr fontId="1"/>
  </si>
  <si>
    <t>・問６～７は普通そのままでは解けないので、エクセルを眺め、なぜその計算条件で良いかを知っておけばOK。全体的に、｢２論点を組み合わせると難しい｣だけで、良問とは言い難い。</t>
    <rPh sb="1" eb="2">
      <t>トイ</t>
    </rPh>
    <rPh sb="6" eb="8">
      <t>フツウ</t>
    </rPh>
    <rPh sb="14" eb="15">
      <t>ト</t>
    </rPh>
    <rPh sb="26" eb="27">
      <t>ナガ</t>
    </rPh>
    <rPh sb="33" eb="35">
      <t>ケイサン</t>
    </rPh>
    <rPh sb="35" eb="37">
      <t>ジョウケン</t>
    </rPh>
    <rPh sb="38" eb="39">
      <t>ヨ</t>
    </rPh>
    <rPh sb="42" eb="43">
      <t>シ</t>
    </rPh>
    <rPh sb="51" eb="54">
      <t>ゼンタイテキ</t>
    </rPh>
    <rPh sb="58" eb="60">
      <t>ロンテン</t>
    </rPh>
    <rPh sb="61" eb="62">
      <t>ク</t>
    </rPh>
    <rPh sb="63" eb="64">
      <t>ア</t>
    </rPh>
    <rPh sb="68" eb="69">
      <t>ムズカ</t>
    </rPh>
    <rPh sb="76" eb="78">
      <t>リョウモン</t>
    </rPh>
    <rPh sb="80" eb="81">
      <t>イ</t>
    </rPh>
    <rPh sb="82" eb="83">
      <t>ガタ</t>
    </rPh>
    <phoneticPr fontId="1"/>
  </si>
  <si>
    <t>3限目 問3</t>
    <rPh sb="1" eb="3">
      <t>ゲンメ</t>
    </rPh>
    <rPh sb="4" eb="5">
      <t>トイ</t>
    </rPh>
    <phoneticPr fontId="1"/>
  </si>
  <si>
    <t>PL上の限界利益</t>
    <rPh sb="2" eb="3">
      <t>ジョウ</t>
    </rPh>
    <rPh sb="4" eb="6">
      <t>ゲンカイ</t>
    </rPh>
    <rPh sb="6" eb="8">
      <t>リエキ</t>
    </rPh>
    <phoneticPr fontId="1"/>
  </si>
  <si>
    <t>税金</t>
    <rPh sb="0" eb="2">
      <t>ゼイキン</t>
    </rPh>
    <phoneticPr fontId="1"/>
  </si>
  <si>
    <t>仕入債務増加</t>
    <rPh sb="0" eb="2">
      <t>シイ</t>
    </rPh>
    <rPh sb="2" eb="4">
      <t>サイム</t>
    </rPh>
    <rPh sb="4" eb="6">
      <t>ゾウカ</t>
    </rPh>
    <phoneticPr fontId="1"/>
  </si>
  <si>
    <t>売上債権増加</t>
    <rPh sb="0" eb="2">
      <t>ウリアゲ</t>
    </rPh>
    <rPh sb="2" eb="4">
      <t>サイケン</t>
    </rPh>
    <rPh sb="4" eb="6">
      <t>ゾウカ</t>
    </rPh>
    <phoneticPr fontId="1"/>
  </si>
  <si>
    <t>在庫品増加</t>
    <rPh sb="0" eb="3">
      <t>ザイコヒン</t>
    </rPh>
    <rPh sb="3" eb="5">
      <t>ゾウカ</t>
    </rPh>
    <phoneticPr fontId="1"/>
  </si>
  <si>
    <t>設備購入支出</t>
    <rPh sb="0" eb="2">
      <t>セツビ</t>
    </rPh>
    <rPh sb="2" eb="4">
      <t>コウニュウ</t>
    </rPh>
    <rPh sb="4" eb="6">
      <t>シシュツ</t>
    </rPh>
    <phoneticPr fontId="1"/>
  </si>
  <si>
    <t>新製品B</t>
    <rPh sb="0" eb="3">
      <t>シンセイヒン</t>
    </rPh>
    <phoneticPr fontId="1"/>
  </si>
  <si>
    <t>単価</t>
    <rPh sb="0" eb="2">
      <t>タンカ</t>
    </rPh>
    <phoneticPr fontId="1"/>
  </si>
  <si>
    <t>Y4</t>
    <phoneticPr fontId="1"/>
  </si>
  <si>
    <t>販売数量</t>
    <rPh sb="0" eb="2">
      <t>ハンバイ</t>
    </rPh>
    <rPh sb="2" eb="4">
      <t>スウリョウ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</si>
  <si>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</si>
  <si>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</si>
  <si>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</si>
  <si>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</si>
  <si>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税引後</t>
    <rPh sb="0" eb="2">
      <t>ゼイビキ</t>
    </rPh>
    <rPh sb="2" eb="3">
      <t>ゴ</t>
    </rPh>
    <phoneticPr fontId="1"/>
  </si>
  <si>
    <t>うち税金</t>
    <rPh sb="2" eb="4">
      <t>ゼイキン</t>
    </rPh>
    <phoneticPr fontId="1"/>
  </si>
  <si>
    <t>税引後利益(CIF)</t>
    <rPh sb="0" eb="1">
      <t>ゼイ</t>
    </rPh>
    <rPh sb="1" eb="2">
      <t>イン</t>
    </rPh>
    <rPh sb="2" eb="3">
      <t>ゴ</t>
    </rPh>
    <rPh sb="3" eb="5">
      <t>リエキ</t>
    </rPh>
    <phoneticPr fontId="1"/>
  </si>
  <si>
    <t>←ここではPL限界利益±税金としているが、イケカコ本来の上記の税引後CIF BOX(減価償却費＋TS)と同額になると確認しておく。</t>
    <rPh sb="7" eb="9">
      <t>ゲンカイ</t>
    </rPh>
    <rPh sb="9" eb="11">
      <t>リエキ</t>
    </rPh>
    <rPh sb="12" eb="14">
      <t>ゼイキン</t>
    </rPh>
    <rPh sb="25" eb="27">
      <t>ホンライ</t>
    </rPh>
    <rPh sb="28" eb="30">
      <t>ジョウキ</t>
    </rPh>
    <rPh sb="31" eb="33">
      <t>ゼイビキ</t>
    </rPh>
    <rPh sb="33" eb="34">
      <t>ゴ</t>
    </rPh>
    <rPh sb="42" eb="44">
      <t>ゲンカ</t>
    </rPh>
    <rPh sb="44" eb="46">
      <t>ショウキャク</t>
    </rPh>
    <rPh sb="46" eb="47">
      <t>ヒ</t>
    </rPh>
    <rPh sb="52" eb="54">
      <t>ドウガク</t>
    </rPh>
    <rPh sb="58" eb="60">
      <t>カクニン</t>
    </rPh>
    <phoneticPr fontId="1"/>
  </si>
  <si>
    <t>期首残高</t>
    <rPh sb="0" eb="2">
      <t>キシュ</t>
    </rPh>
    <rPh sb="2" eb="4">
      <t>ザンダカ</t>
    </rPh>
    <phoneticPr fontId="1"/>
  </si>
  <si>
    <t>仕入債務</t>
    <rPh sb="0" eb="2">
      <t>シイ</t>
    </rPh>
    <rPh sb="2" eb="4">
      <t>サイム</t>
    </rPh>
    <phoneticPr fontId="1"/>
  </si>
  <si>
    <t>売上債権</t>
    <rPh sb="0" eb="2">
      <t>ウリアゲ</t>
    </rPh>
    <rPh sb="2" eb="4">
      <t>サイケン</t>
    </rPh>
    <phoneticPr fontId="1"/>
  </si>
  <si>
    <t>在庫品</t>
    <rPh sb="0" eb="3">
      <t>ザイコヒン</t>
    </rPh>
    <phoneticPr fontId="1"/>
  </si>
  <si>
    <t>&lt;CFの表示&gt;</t>
    <rPh sb="4" eb="6">
      <t>ヒョウジ</t>
    </rPh>
    <phoneticPr fontId="1"/>
  </si>
  <si>
    <t>NPV</t>
    <phoneticPr fontId="1"/>
  </si>
  <si>
    <t>・CFの問題なので、税引後CIFの練習になる。PL利益-税金＝減価償却費＋税引後利益になる関係をBOXでイメージすると、いざというとき迷いにくい。</t>
    <rPh sb="4" eb="6">
      <t>モンダイ</t>
    </rPh>
    <rPh sb="10" eb="12">
      <t>ゼイビキ</t>
    </rPh>
    <rPh sb="12" eb="13">
      <t>ゴ</t>
    </rPh>
    <rPh sb="17" eb="19">
      <t>レンシュウ</t>
    </rPh>
    <rPh sb="25" eb="27">
      <t>リエキ</t>
    </rPh>
    <rPh sb="28" eb="30">
      <t>ゼイキン</t>
    </rPh>
    <rPh sb="31" eb="33">
      <t>ゲンカ</t>
    </rPh>
    <rPh sb="33" eb="35">
      <t>ショウキャク</t>
    </rPh>
    <rPh sb="35" eb="36">
      <t>ヒ</t>
    </rPh>
    <rPh sb="37" eb="39">
      <t>ゼイビキ</t>
    </rPh>
    <rPh sb="39" eb="40">
      <t>ゴ</t>
    </rPh>
    <rPh sb="40" eb="42">
      <t>リエキ</t>
    </rPh>
    <rPh sb="45" eb="47">
      <t>カンケイ</t>
    </rPh>
    <rPh sb="67" eb="68">
      <t>マヨ</t>
    </rPh>
    <phoneticPr fontId="1"/>
  </si>
  <si>
    <t>・運転資本の増減がCFに与える影響を知る問題。解く必要はないが、診断士にはない問題なので、ぜひ眺めておきたい。またNPVというより、CF計算書の運転資本増減の理解にも役立つ。</t>
    <rPh sb="1" eb="3">
      <t>ウンテン</t>
    </rPh>
    <rPh sb="3" eb="5">
      <t>シホン</t>
    </rPh>
    <rPh sb="6" eb="8">
      <t>ゾウゲン</t>
    </rPh>
    <rPh sb="12" eb="13">
      <t>アタ</t>
    </rPh>
    <rPh sb="15" eb="17">
      <t>エイキョウ</t>
    </rPh>
    <rPh sb="18" eb="19">
      <t>シ</t>
    </rPh>
    <rPh sb="20" eb="22">
      <t>モンダイ</t>
    </rPh>
    <rPh sb="23" eb="24">
      <t>ト</t>
    </rPh>
    <rPh sb="25" eb="27">
      <t>ヒツヨウ</t>
    </rPh>
    <rPh sb="32" eb="35">
      <t>シンダンシ</t>
    </rPh>
    <rPh sb="39" eb="41">
      <t>モンダイ</t>
    </rPh>
    <rPh sb="47" eb="48">
      <t>ナガ</t>
    </rPh>
    <rPh sb="72" eb="74">
      <t>ウンテン</t>
    </rPh>
    <rPh sb="74" eb="76">
      <t>シホン</t>
    </rPh>
    <rPh sb="76" eb="78">
      <t>ゾウゲン</t>
    </rPh>
    <phoneticPr fontId="1"/>
  </si>
  <si>
    <t>3限目 問4</t>
    <rPh sb="1" eb="3">
      <t>ゲンメ</t>
    </rPh>
    <rPh sb="4" eb="5">
      <t>トイ</t>
    </rPh>
    <phoneticPr fontId="1"/>
  </si>
  <si>
    <t>投下資本</t>
    <rPh sb="0" eb="2">
      <t>トウカ</t>
    </rPh>
    <rPh sb="2" eb="4">
      <t>シホン</t>
    </rPh>
    <phoneticPr fontId="1"/>
  </si>
  <si>
    <t>負債</t>
    <rPh sb="0" eb="2">
      <t>フサイ</t>
    </rPh>
    <phoneticPr fontId="1"/>
  </si>
  <si>
    <t>自己資本</t>
    <rPh sb="0" eb="2">
      <t>ジコ</t>
    </rPh>
    <rPh sb="2" eb="4">
      <t>シホン</t>
    </rPh>
    <phoneticPr fontId="1"/>
  </si>
  <si>
    <t>・当問の基本は、タイムテーブル+税引後CIFによる計算だが、現在価値NPVに割り引くのでなく、期末に発生したCFで資本投下額を回収し、最終年の±で投資判断する。</t>
    <rPh sb="1" eb="2">
      <t>トウ</t>
    </rPh>
    <rPh sb="2" eb="3">
      <t>モン</t>
    </rPh>
    <rPh sb="4" eb="6">
      <t>キホン</t>
    </rPh>
    <rPh sb="16" eb="18">
      <t>ゼイビキ</t>
    </rPh>
    <rPh sb="18" eb="19">
      <t>ゴ</t>
    </rPh>
    <rPh sb="25" eb="27">
      <t>ケイサン</t>
    </rPh>
    <rPh sb="30" eb="32">
      <t>ゲンザイ</t>
    </rPh>
    <rPh sb="32" eb="34">
      <t>カチ</t>
    </rPh>
    <rPh sb="38" eb="39">
      <t>ワ</t>
    </rPh>
    <rPh sb="40" eb="41">
      <t>ビ</t>
    </rPh>
    <rPh sb="47" eb="49">
      <t>キマツ</t>
    </rPh>
    <rPh sb="50" eb="52">
      <t>ハッセイ</t>
    </rPh>
    <rPh sb="57" eb="59">
      <t>シホン</t>
    </rPh>
    <rPh sb="59" eb="61">
      <t>トウカ</t>
    </rPh>
    <rPh sb="61" eb="62">
      <t>ガク</t>
    </rPh>
    <rPh sb="63" eb="65">
      <t>カイシュウ</t>
    </rPh>
    <rPh sb="67" eb="70">
      <t>サイシュウネン</t>
    </rPh>
    <rPh sb="73" eb="75">
      <t>トウシ</t>
    </rPh>
    <rPh sb="75" eb="77">
      <t>ハンダン</t>
    </rPh>
    <phoneticPr fontId="1"/>
  </si>
  <si>
    <t>・同様の出題がされる可能性はまずなく、解いたり覚える必要はない。ただこのように簿記・会計士の通常パターンと異なる出題を好む傾向があるので、エクセルで眺めておくと良い。</t>
    <rPh sb="1" eb="3">
      <t>ドウヨウ</t>
    </rPh>
    <rPh sb="4" eb="6">
      <t>シュツダイ</t>
    </rPh>
    <rPh sb="10" eb="13">
      <t>カノウセイ</t>
    </rPh>
    <rPh sb="19" eb="20">
      <t>ト</t>
    </rPh>
    <rPh sb="23" eb="24">
      <t>オボ</t>
    </rPh>
    <rPh sb="26" eb="28">
      <t>ヒツヨウ</t>
    </rPh>
    <rPh sb="39" eb="41">
      <t>ボキ</t>
    </rPh>
    <rPh sb="42" eb="44">
      <t>カイケイ</t>
    </rPh>
    <rPh sb="44" eb="45">
      <t>シ</t>
    </rPh>
    <rPh sb="46" eb="48">
      <t>ツウジョウ</t>
    </rPh>
    <rPh sb="53" eb="54">
      <t>コト</t>
    </rPh>
    <rPh sb="56" eb="58">
      <t>シュツダイ</t>
    </rPh>
    <rPh sb="59" eb="60">
      <t>コノ</t>
    </rPh>
    <rPh sb="61" eb="63">
      <t>ケイコウ</t>
    </rPh>
    <rPh sb="74" eb="75">
      <t>ナガ</t>
    </rPh>
    <rPh sb="80" eb="81">
      <t>ヨ</t>
    </rPh>
    <phoneticPr fontId="1"/>
  </si>
  <si>
    <t>期末に発生するCF＝当期の資本回収額</t>
    <rPh sb="0" eb="2">
      <t>キマツ</t>
    </rPh>
    <rPh sb="3" eb="5">
      <t>ハッセイ</t>
    </rPh>
    <rPh sb="10" eb="12">
      <t>トウキ</t>
    </rPh>
    <rPh sb="13" eb="15">
      <t>シホン</t>
    </rPh>
    <rPh sb="15" eb="17">
      <t>カイシュウ</t>
    </rPh>
    <rPh sb="17" eb="18">
      <t>ガク</t>
    </rPh>
    <phoneticPr fontId="1"/>
  </si>
  <si>
    <t>営業利益の増加</t>
    <rPh sb="0" eb="2">
      <t>エイギョウ</t>
    </rPh>
    <rPh sb="2" eb="4">
      <t>リエキ</t>
    </rPh>
    <rPh sb="5" eb="7">
      <t>ゾウカ</t>
    </rPh>
    <phoneticPr fontId="1"/>
  </si>
  <si>
    <t>負債コスト支払</t>
    <rPh sb="0" eb="2">
      <t>フサイ</t>
    </rPh>
    <rPh sb="5" eb="7">
      <t>シハラ</t>
    </rPh>
    <phoneticPr fontId="1"/>
  </si>
  <si>
    <t>資本コスト支払</t>
    <rPh sb="0" eb="2">
      <t>シホン</t>
    </rPh>
    <rPh sb="5" eb="7">
      <t>シハラ</t>
    </rPh>
    <phoneticPr fontId="1"/>
  </si>
  <si>
    <t>税金支払</t>
    <rPh sb="0" eb="2">
      <t>ゼイキン</t>
    </rPh>
    <rPh sb="2" eb="4">
      <t>シハラ</t>
    </rPh>
    <phoneticPr fontId="1"/>
  </si>
  <si>
    <t>期末発生CF</t>
    <rPh sb="0" eb="2">
      <t>キマツ</t>
    </rPh>
    <rPh sb="2" eb="4">
      <t>ハッセイ</t>
    </rPh>
    <phoneticPr fontId="1"/>
  </si>
  <si>
    <t>←負債・資本・税金コストの支払を考慮すると、投下資本3,000,000を回収しきれない。</t>
    <rPh sb="1" eb="3">
      <t>フサイ</t>
    </rPh>
    <rPh sb="4" eb="6">
      <t>シホン</t>
    </rPh>
    <rPh sb="7" eb="9">
      <t>ゼイキン</t>
    </rPh>
    <rPh sb="13" eb="15">
      <t>シハラ</t>
    </rPh>
    <rPh sb="16" eb="18">
      <t>コウリョ</t>
    </rPh>
    <rPh sb="22" eb="24">
      <t>トウカ</t>
    </rPh>
    <rPh sb="24" eb="26">
      <t>シホン</t>
    </rPh>
    <rPh sb="36" eb="38">
      <t>カイシュウ</t>
    </rPh>
    <phoneticPr fontId="1"/>
  </si>
  <si>
    <t>変動費</t>
    <rPh sb="0" eb="2">
      <t>ヘンドウ</t>
    </rPh>
    <rPh sb="2" eb="3">
      <t>ヒ</t>
    </rPh>
    <phoneticPr fontId="1"/>
  </si>
  <si>
    <t>固定費</t>
    <rPh sb="0" eb="2">
      <t>コテイ</t>
    </rPh>
    <rPh sb="2" eb="3">
      <t>ヒ</t>
    </rPh>
    <phoneticPr fontId="1"/>
  </si>
  <si>
    <t>総額</t>
    <rPh sb="0" eb="2">
      <t>ソウガク</t>
    </rPh>
    <phoneticPr fontId="1"/>
  </si>
  <si>
    <t>取得価額</t>
    <rPh sb="0" eb="2">
      <t>シュトク</t>
    </rPh>
    <rPh sb="2" eb="4">
      <t>カガク</t>
    </rPh>
    <phoneticPr fontId="1"/>
  </si>
  <si>
    <t>減価償却費/年</t>
    <rPh sb="0" eb="2">
      <t>ゲンカ</t>
    </rPh>
    <rPh sb="2" eb="4">
      <t>ショウキャク</t>
    </rPh>
    <rPh sb="4" eb="5">
      <t>ヒ</t>
    </rPh>
    <rPh sb="6" eb="7">
      <t>ネン</t>
    </rPh>
    <phoneticPr fontId="1"/>
  </si>
  <si>
    <t>NPV①＋②</t>
    <phoneticPr fontId="1"/>
  </si>
  <si>
    <t>問1</t>
    <rPh sb="0" eb="1">
      <t>トイ</t>
    </rPh>
    <phoneticPr fontId="1"/>
  </si>
  <si>
    <t>NPV=0となるようなCIFを逆算で求める。</t>
    <rPh sb="15" eb="17">
      <t>ギャクサン</t>
    </rPh>
    <rPh sb="18" eb="19">
      <t>モト</t>
    </rPh>
    <phoneticPr fontId="1"/>
  </si>
  <si>
    <t>800S</t>
    <phoneticPr fontId="1"/>
  </si>
  <si>
    <t>2000S</t>
    <phoneticPr fontId="1"/>
  </si>
  <si>
    <t>修正後固定費</t>
    <rPh sb="0" eb="2">
      <t>シュウセイ</t>
    </rPh>
    <rPh sb="2" eb="3">
      <t>ゴ</t>
    </rPh>
    <rPh sb="3" eb="6">
      <t>コテイヒ</t>
    </rPh>
    <phoneticPr fontId="1"/>
  </si>
  <si>
    <t>単位限界利益</t>
    <rPh sb="0" eb="2">
      <t>タンイ</t>
    </rPh>
    <rPh sb="2" eb="4">
      <t>ゲンカイ</t>
    </rPh>
    <rPh sb="4" eb="6">
      <t>リエキ</t>
    </rPh>
    <phoneticPr fontId="1"/>
  </si>
  <si>
    <t>SBEP個数</t>
    <rPh sb="4" eb="6">
      <t>コスウ</t>
    </rPh>
    <phoneticPr fontId="1"/>
  </si>
  <si>
    <t>・問１はごくオーソドックスな、税引後CIFからNPVを求める問題。</t>
    <rPh sb="1" eb="2">
      <t>トイ</t>
    </rPh>
    <rPh sb="15" eb="17">
      <t>ゼイビキ</t>
    </rPh>
    <rPh sb="17" eb="18">
      <t>ゴ</t>
    </rPh>
    <rPh sb="27" eb="28">
      <t>モト</t>
    </rPh>
    <rPh sb="30" eb="32">
      <t>モンダイ</t>
    </rPh>
    <phoneticPr fontId="1"/>
  </si>
  <si>
    <t>・問２はNPV＝0となるような販売量を求める問題。イケカコ解説はNPVに相当する分の差額数量で求めた。エクセルシート上では、総額で税引後CIFまで戻るやり方を示した。</t>
    <rPh sb="1" eb="2">
      <t>トイ</t>
    </rPh>
    <rPh sb="15" eb="17">
      <t>ハンバイ</t>
    </rPh>
    <rPh sb="17" eb="18">
      <t>リョウ</t>
    </rPh>
    <rPh sb="19" eb="20">
      <t>モト</t>
    </rPh>
    <rPh sb="22" eb="24">
      <t>モンダイ</t>
    </rPh>
    <rPh sb="29" eb="31">
      <t>カイセツ</t>
    </rPh>
    <rPh sb="36" eb="38">
      <t>ソウトウ</t>
    </rPh>
    <rPh sb="40" eb="41">
      <t>ブン</t>
    </rPh>
    <rPh sb="42" eb="44">
      <t>サガク</t>
    </rPh>
    <rPh sb="44" eb="46">
      <t>スウリョウ</t>
    </rPh>
    <rPh sb="47" eb="48">
      <t>モト</t>
    </rPh>
    <rPh sb="58" eb="59">
      <t>ジョウ</t>
    </rPh>
    <rPh sb="62" eb="64">
      <t>ソウガク</t>
    </rPh>
    <rPh sb="65" eb="67">
      <t>ゼイビキ</t>
    </rPh>
    <rPh sb="67" eb="68">
      <t>ゴ</t>
    </rPh>
    <rPh sb="73" eb="74">
      <t>モド</t>
    </rPh>
    <rPh sb="77" eb="78">
      <t>カタ</t>
    </rPh>
    <rPh sb="79" eb="80">
      <t>シメ</t>
    </rPh>
    <phoneticPr fontId="1"/>
  </si>
  <si>
    <t>・インフレ調整は、診断士試験では問われない。当問はパス。</t>
    <rPh sb="5" eb="7">
      <t>チョウセイ</t>
    </rPh>
    <rPh sb="9" eb="12">
      <t>シンダンシ</t>
    </rPh>
    <rPh sb="12" eb="14">
      <t>シケン</t>
    </rPh>
    <rPh sb="16" eb="17">
      <t>ト</t>
    </rPh>
    <rPh sb="22" eb="23">
      <t>トウ</t>
    </rPh>
    <rPh sb="23" eb="24">
      <t>モン</t>
    </rPh>
    <phoneticPr fontId="1"/>
  </si>
  <si>
    <t>・当問は、診断士受験者なら全く苦にしない、ファイナンス論点。</t>
    <rPh sb="1" eb="2">
      <t>トウ</t>
    </rPh>
    <rPh sb="2" eb="3">
      <t>モン</t>
    </rPh>
    <rPh sb="5" eb="8">
      <t>シンダンシ</t>
    </rPh>
    <rPh sb="8" eb="11">
      <t>ジュケンシャ</t>
    </rPh>
    <rPh sb="13" eb="14">
      <t>マッタ</t>
    </rPh>
    <rPh sb="15" eb="16">
      <t>ク</t>
    </rPh>
    <rPh sb="27" eb="29">
      <t>ロンテン</t>
    </rPh>
    <phoneticPr fontId="1"/>
  </si>
  <si>
    <t>問１ 配当割引モデル</t>
    <rPh sb="0" eb="1">
      <t>トイ</t>
    </rPh>
    <rPh sb="3" eb="5">
      <t>ハイトウ</t>
    </rPh>
    <rPh sb="5" eb="7">
      <t>ワリビ</t>
    </rPh>
    <phoneticPr fontId="1"/>
  </si>
  <si>
    <t>配当額</t>
    <rPh sb="0" eb="2">
      <t>ハイトウ</t>
    </rPh>
    <rPh sb="2" eb="3">
      <t>ガク</t>
    </rPh>
    <phoneticPr fontId="1"/>
  </si>
  <si>
    <t>株価</t>
    <rPh sb="0" eb="2">
      <t>カブカ</t>
    </rPh>
    <phoneticPr fontId="1"/>
  </si>
  <si>
    <t>定率成長の配当割引モデル</t>
    <rPh sb="0" eb="2">
      <t>テイリツ</t>
    </rPh>
    <rPh sb="2" eb="4">
      <t>セイチョウ</t>
    </rPh>
    <rPh sb="5" eb="7">
      <t>ハイトウ</t>
    </rPh>
    <rPh sb="7" eb="9">
      <t>ワリビ</t>
    </rPh>
    <phoneticPr fontId="1"/>
  </si>
  <si>
    <t>方程式を解いて、配当利回りを求める</t>
    <rPh sb="0" eb="3">
      <t>ホウテイシキ</t>
    </rPh>
    <rPh sb="4" eb="5">
      <t>ト</t>
    </rPh>
    <rPh sb="8" eb="10">
      <t>ハイトウ</t>
    </rPh>
    <rPh sb="10" eb="12">
      <t>リマワ</t>
    </rPh>
    <rPh sb="14" eb="15">
      <t>モト</t>
    </rPh>
    <phoneticPr fontId="1"/>
  </si>
  <si>
    <t>利回り</t>
    <rPh sb="0" eb="2">
      <t>リマワ</t>
    </rPh>
    <phoneticPr fontId="1"/>
  </si>
  <si>
    <t>成長率</t>
    <rPh sb="0" eb="3">
      <t>セイチョウリツ</t>
    </rPh>
    <phoneticPr fontId="1"/>
  </si>
  <si>
    <t>問3</t>
    <rPh sb="0" eb="1">
      <t>トイ</t>
    </rPh>
    <phoneticPr fontId="1"/>
  </si>
  <si>
    <t>WACCの計算</t>
    <rPh sb="5" eb="7">
      <t>ケイサン</t>
    </rPh>
    <phoneticPr fontId="1"/>
  </si>
  <si>
    <t>社債の計算問題は問われない。ここでは答えから、4.3%と置く。</t>
    <rPh sb="0" eb="2">
      <t>シャサイ</t>
    </rPh>
    <rPh sb="3" eb="5">
      <t>ケイサン</t>
    </rPh>
    <rPh sb="5" eb="7">
      <t>モンダイ</t>
    </rPh>
    <rPh sb="8" eb="9">
      <t>ト</t>
    </rPh>
    <rPh sb="18" eb="19">
      <t>コタ</t>
    </rPh>
    <rPh sb="28" eb="29">
      <t>オ</t>
    </rPh>
    <phoneticPr fontId="1"/>
  </si>
  <si>
    <t>社債</t>
    <rPh sb="0" eb="2">
      <t>シャサイ</t>
    </rPh>
    <phoneticPr fontId="1"/>
  </si>
  <si>
    <t>株式</t>
    <rPh sb="0" eb="2">
      <t>カブシキ</t>
    </rPh>
    <phoneticPr fontId="1"/>
  </si>
  <si>
    <t>これを加重平均する</t>
    <rPh sb="3" eb="5">
      <t>カジュウ</t>
    </rPh>
    <rPh sb="5" eb="7">
      <t>ヘイキン</t>
    </rPh>
    <phoneticPr fontId="1"/>
  </si>
  <si>
    <t>・問2の社債利回りは簿記の計算問題になってしまうので解かない。問1、問３は1次｢財務｣ならBランクレベルの易問。</t>
    <rPh sb="1" eb="2">
      <t>トイ</t>
    </rPh>
    <rPh sb="4" eb="6">
      <t>シャサイ</t>
    </rPh>
    <rPh sb="6" eb="8">
      <t>リマワ</t>
    </rPh>
    <rPh sb="10" eb="12">
      <t>ボキ</t>
    </rPh>
    <rPh sb="13" eb="15">
      <t>ケイサン</t>
    </rPh>
    <rPh sb="15" eb="17">
      <t>モンダイ</t>
    </rPh>
    <rPh sb="26" eb="27">
      <t>ト</t>
    </rPh>
    <rPh sb="31" eb="32">
      <t>トイ</t>
    </rPh>
    <rPh sb="34" eb="35">
      <t>トイ</t>
    </rPh>
    <rPh sb="38" eb="39">
      <t>ジ</t>
    </rPh>
    <rPh sb="40" eb="42">
      <t>ザイム</t>
    </rPh>
    <rPh sb="53" eb="54">
      <t>エキ</t>
    </rPh>
    <rPh sb="54" eb="55">
      <t>モン</t>
    </rPh>
    <phoneticPr fontId="1"/>
  </si>
  <si>
    <t>Lecture 10 戦略的意思決定会計(3)</t>
    <rPh sb="11" eb="13">
      <t>センリャク</t>
    </rPh>
    <rPh sb="13" eb="14">
      <t>テキ</t>
    </rPh>
    <rPh sb="14" eb="16">
      <t>イシ</t>
    </rPh>
    <rPh sb="16" eb="18">
      <t>ケッテイ</t>
    </rPh>
    <rPh sb="18" eb="20">
      <t>カイケイ</t>
    </rPh>
    <phoneticPr fontId="1"/>
  </si>
  <si>
    <t>税引後CIF</t>
    <rPh sb="0" eb="2">
      <t>ゼイビキ</t>
    </rPh>
    <rPh sb="2" eb="3">
      <t>ゴ</t>
    </rPh>
    <phoneticPr fontId="1"/>
  </si>
  <si>
    <t>※TSは生じない</t>
    <rPh sb="4" eb="5">
      <t>ショウ</t>
    </rPh>
    <phoneticPr fontId="1"/>
  </si>
  <si>
    <t>問１ NPVの計算。例題1 問1のエクセル式をほぼそのままコピーで使える。</t>
    <rPh sb="0" eb="1">
      <t>トイ</t>
    </rPh>
    <rPh sb="7" eb="9">
      <t>ケイサン</t>
    </rPh>
    <rPh sb="10" eb="12">
      <t>レイダイ</t>
    </rPh>
    <rPh sb="14" eb="15">
      <t>トイ</t>
    </rPh>
    <rPh sb="21" eb="22">
      <t>シキ</t>
    </rPh>
    <rPh sb="33" eb="34">
      <t>ツカ</t>
    </rPh>
    <phoneticPr fontId="1"/>
  </si>
  <si>
    <t>問2 NPV＝0になるような、価格または固定費の感度分析</t>
    <rPh sb="0" eb="1">
      <t>トイ</t>
    </rPh>
    <rPh sb="15" eb="17">
      <t>カカク</t>
    </rPh>
    <rPh sb="20" eb="23">
      <t>コテイヒ</t>
    </rPh>
    <rPh sb="24" eb="26">
      <t>カンド</t>
    </rPh>
    <rPh sb="26" eb="28">
      <t>ブンセキ</t>
    </rPh>
    <phoneticPr fontId="1"/>
  </si>
  <si>
    <t>差額CF</t>
    <rPh sb="0" eb="2">
      <t>サガク</t>
    </rPh>
    <phoneticPr fontId="1"/>
  </si>
  <si>
    <t>税引後CIFの減少許容額</t>
    <rPh sb="0" eb="2">
      <t>ゼイビキ</t>
    </rPh>
    <rPh sb="2" eb="3">
      <t>ゴ</t>
    </rPh>
    <rPh sb="7" eb="9">
      <t>ゲンショウ</t>
    </rPh>
    <rPh sb="9" eb="11">
      <t>キョヨウ</t>
    </rPh>
    <rPh sb="11" eb="12">
      <t>ガク</t>
    </rPh>
    <phoneticPr fontId="1"/>
  </si>
  <si>
    <t>最低必要な販売単価</t>
    <rPh sb="0" eb="2">
      <t>サイテイ</t>
    </rPh>
    <rPh sb="2" eb="4">
      <t>ヒツヨウ</t>
    </rPh>
    <rPh sb="5" eb="7">
      <t>ハンバイ</t>
    </rPh>
    <rPh sb="7" eb="9">
      <t>タンカ</t>
    </rPh>
    <phoneticPr fontId="1"/>
  </si>
  <si>
    <t>許容できる業務費用</t>
    <rPh sb="0" eb="2">
      <t>キョヨウ</t>
    </rPh>
    <rPh sb="5" eb="7">
      <t>ギョウム</t>
    </rPh>
    <rPh sb="7" eb="9">
      <t>ヒヨウ</t>
    </rPh>
    <phoneticPr fontId="1"/>
  </si>
  <si>
    <t>収益①</t>
    <rPh sb="0" eb="2">
      <t>シュウエキ</t>
    </rPh>
    <phoneticPr fontId="1"/>
  </si>
  <si>
    <t>収益②</t>
    <rPh sb="0" eb="2">
      <t>シュウエキ</t>
    </rPh>
    <phoneticPr fontId="1"/>
  </si>
  <si>
    <t>←現在の固定費30,000,000に、収益①⇔②の差額までは増えて良い。</t>
    <rPh sb="1" eb="3">
      <t>ゲンザイ</t>
    </rPh>
    <rPh sb="4" eb="7">
      <t>コテイヒ</t>
    </rPh>
    <rPh sb="19" eb="21">
      <t>シュウエキ</t>
    </rPh>
    <rPh sb="25" eb="27">
      <t>サガク</t>
    </rPh>
    <rPh sb="30" eb="31">
      <t>フ</t>
    </rPh>
    <rPh sb="33" eb="34">
      <t>ヨ</t>
    </rPh>
    <phoneticPr fontId="1"/>
  </si>
  <si>
    <t>感度分析・・問１のエクセルの条件を打ち変え、C18セルの値を読み取ればOK</t>
    <rPh sb="0" eb="2">
      <t>カンド</t>
    </rPh>
    <rPh sb="2" eb="4">
      <t>ブンセキ</t>
    </rPh>
    <rPh sb="6" eb="7">
      <t>トイ</t>
    </rPh>
    <rPh sb="14" eb="16">
      <t>ジョウケン</t>
    </rPh>
    <rPh sb="17" eb="18">
      <t>ウ</t>
    </rPh>
    <rPh sb="19" eb="20">
      <t>カ</t>
    </rPh>
    <rPh sb="28" eb="29">
      <t>アタイ</t>
    </rPh>
    <rPh sb="30" eb="31">
      <t>ヨ</t>
    </rPh>
    <rPh sb="32" eb="33">
      <t>ト</t>
    </rPh>
    <phoneticPr fontId="1"/>
  </si>
  <si>
    <t>(1)販売価格を下げ、個数が増える</t>
    <rPh sb="3" eb="5">
      <t>ハンバイ</t>
    </rPh>
    <rPh sb="5" eb="7">
      <t>カカク</t>
    </rPh>
    <rPh sb="8" eb="9">
      <t>サ</t>
    </rPh>
    <rPh sb="11" eb="13">
      <t>コスウ</t>
    </rPh>
    <rPh sb="14" eb="15">
      <t>フ</t>
    </rPh>
    <phoneticPr fontId="1"/>
  </si>
  <si>
    <t>(2)業務費用が10%減る</t>
    <rPh sb="3" eb="5">
      <t>ギョウム</t>
    </rPh>
    <rPh sb="5" eb="7">
      <t>ヒヨウ</t>
    </rPh>
    <rPh sb="11" eb="12">
      <t>ヘ</t>
    </rPh>
    <phoneticPr fontId="1"/>
  </si>
  <si>
    <t>(3)税率が50%に増える</t>
    <rPh sb="3" eb="5">
      <t>ゼイリツ</t>
    </rPh>
    <rPh sb="10" eb="11">
      <t>フ</t>
    </rPh>
    <phoneticPr fontId="1"/>
  </si>
  <si>
    <t>NPV</t>
    <phoneticPr fontId="1"/>
  </si>
  <si>
    <t>増減</t>
    <rPh sb="0" eb="2">
      <t>ゾウゲン</t>
    </rPh>
    <phoneticPr fontId="1"/>
  </si>
  <si>
    <t>問4</t>
    <rPh sb="0" eb="1">
      <t>トイ</t>
    </rPh>
    <phoneticPr fontId="1"/>
  </si>
  <si>
    <t>最小</t>
    <rPh sb="0" eb="2">
      <t>サイショウ</t>
    </rPh>
    <phoneticPr fontId="1"/>
  </si>
  <si>
    <t>最大</t>
    <rPh sb="0" eb="2">
      <t>サイダイ</t>
    </rPh>
    <phoneticPr fontId="1"/>
  </si>
  <si>
    <t>販売量</t>
    <rPh sb="0" eb="2">
      <t>ハンバイ</t>
    </rPh>
    <rPh sb="2" eb="3">
      <t>リョウ</t>
    </rPh>
    <phoneticPr fontId="1"/>
  </si>
  <si>
    <t>業務費用</t>
    <rPh sb="0" eb="2">
      <t>ギョウム</t>
    </rPh>
    <rPh sb="2" eb="4">
      <t>ヒヨウ</t>
    </rPh>
    <phoneticPr fontId="1"/>
  </si>
  <si>
    <t>←この時、NPVが最大</t>
    <rPh sb="3" eb="4">
      <t>トキ</t>
    </rPh>
    <rPh sb="9" eb="11">
      <t>サイダイ</t>
    </rPh>
    <phoneticPr fontId="1"/>
  </si>
  <si>
    <t>←この時、NPVが最小</t>
    <rPh sb="3" eb="4">
      <t>トキ</t>
    </rPh>
    <rPh sb="9" eb="11">
      <t>サイショウ</t>
    </rPh>
    <phoneticPr fontId="1"/>
  </si>
  <si>
    <t>・問1は、例題１の問１と全く同じ構成。NPVの問題は、一度計算パターン掴んでおければそれを使いまわすだけと実感できる。</t>
    <rPh sb="1" eb="2">
      <t>トイ</t>
    </rPh>
    <rPh sb="5" eb="7">
      <t>レイダイ</t>
    </rPh>
    <rPh sb="9" eb="10">
      <t>トイ</t>
    </rPh>
    <rPh sb="12" eb="13">
      <t>マッタ</t>
    </rPh>
    <rPh sb="14" eb="15">
      <t>オナ</t>
    </rPh>
    <rPh sb="16" eb="18">
      <t>コウセイ</t>
    </rPh>
    <rPh sb="23" eb="25">
      <t>モンダイ</t>
    </rPh>
    <rPh sb="27" eb="29">
      <t>イチド</t>
    </rPh>
    <rPh sb="29" eb="31">
      <t>ケイサン</t>
    </rPh>
    <rPh sb="35" eb="36">
      <t>ツカ</t>
    </rPh>
    <rPh sb="45" eb="46">
      <t>ツカ</t>
    </rPh>
    <rPh sb="53" eb="55">
      <t>ジッカン</t>
    </rPh>
    <phoneticPr fontId="1"/>
  </si>
  <si>
    <t>・問2～4は、NPV=0にしたり、条件変化でNPVがどう動くかを見せる問題。実際に手計算すると煩雑だが、エクセルなら一瞬。</t>
    <rPh sb="1" eb="2">
      <t>トイ</t>
    </rPh>
    <rPh sb="17" eb="19">
      <t>ジョウケン</t>
    </rPh>
    <rPh sb="19" eb="21">
      <t>ヘンカ</t>
    </rPh>
    <rPh sb="28" eb="29">
      <t>ウゴ</t>
    </rPh>
    <rPh sb="32" eb="33">
      <t>ミ</t>
    </rPh>
    <rPh sb="35" eb="37">
      <t>モンダイ</t>
    </rPh>
    <rPh sb="38" eb="40">
      <t>ジッサイ</t>
    </rPh>
    <rPh sb="41" eb="42">
      <t>テ</t>
    </rPh>
    <rPh sb="42" eb="44">
      <t>ケイサン</t>
    </rPh>
    <rPh sb="47" eb="49">
      <t>ハンザツ</t>
    </rPh>
    <rPh sb="58" eb="60">
      <t>イッシュン</t>
    </rPh>
    <phoneticPr fontId="1"/>
  </si>
  <si>
    <t>問1 固変分解</t>
    <rPh sb="0" eb="1">
      <t>トイ</t>
    </rPh>
    <rPh sb="3" eb="4">
      <t>コ</t>
    </rPh>
    <rPh sb="4" eb="5">
      <t>ヘン</t>
    </rPh>
    <rPh sb="5" eb="7">
      <t>ブンカイ</t>
    </rPh>
    <phoneticPr fontId="1"/>
  </si>
  <si>
    <t>製造量</t>
    <rPh sb="0" eb="2">
      <t>セイゾウ</t>
    </rPh>
    <rPh sb="2" eb="3">
      <t>リョウ</t>
    </rPh>
    <phoneticPr fontId="1"/>
  </si>
  <si>
    <t>発生原価</t>
    <rPh sb="0" eb="2">
      <t>ハッセイ</t>
    </rPh>
    <rPh sb="2" eb="4">
      <t>ゲンカ</t>
    </rPh>
    <phoneticPr fontId="1"/>
  </si>
  <si>
    <t>y=</t>
    <phoneticPr fontId="1"/>
  </si>
  <si>
    <t>x</t>
    <phoneticPr fontId="1"/>
  </si>
  <si>
    <t>販売単価</t>
    <rPh sb="0" eb="2">
      <t>ハンバイ</t>
    </rPh>
    <rPh sb="2" eb="4">
      <t>タンカ</t>
    </rPh>
    <phoneticPr fontId="1"/>
  </si>
  <si>
    <t>限界利益率</t>
    <rPh sb="0" eb="2">
      <t>ゲンカイ</t>
    </rPh>
    <rPh sb="2" eb="4">
      <t>リエキ</t>
    </rPh>
    <rPh sb="4" eb="5">
      <t>リツ</t>
    </rPh>
    <phoneticPr fontId="1"/>
  </si>
  <si>
    <t>SBEP</t>
    <phoneticPr fontId="1"/>
  </si>
  <si>
    <t>枚</t>
    <rPh sb="0" eb="1">
      <t>マイ</t>
    </rPh>
    <phoneticPr fontId="1"/>
  </si>
  <si>
    <t>売上高</t>
    <rPh sb="0" eb="2">
      <t>ウリアゲ</t>
    </rPh>
    <rPh sb="2" eb="3">
      <t>ダカ</t>
    </rPh>
    <phoneticPr fontId="1"/>
  </si>
  <si>
    <t>枚数</t>
    <rPh sb="0" eb="2">
      <t>マイスウ</t>
    </rPh>
    <phoneticPr fontId="1"/>
  </si>
  <si>
    <t>税前利益</t>
    <rPh sb="0" eb="1">
      <t>ゼイ</t>
    </rPh>
    <rPh sb="1" eb="2">
      <t>マエ</t>
    </rPh>
    <rPh sb="2" eb="4">
      <t>リエキ</t>
    </rPh>
    <phoneticPr fontId="1"/>
  </si>
  <si>
    <t>税引後利益</t>
    <rPh sb="0" eb="2">
      <t>ゼイビキ</t>
    </rPh>
    <rPh sb="2" eb="3">
      <t>ゴ</t>
    </rPh>
    <rPh sb="3" eb="5">
      <t>リエキ</t>
    </rPh>
    <phoneticPr fontId="1"/>
  </si>
  <si>
    <t>月間</t>
    <rPh sb="0" eb="2">
      <t>ゲッカン</t>
    </rPh>
    <phoneticPr fontId="1"/>
  </si>
  <si>
    <t>※問4 利益率18%の場合</t>
    <rPh sb="1" eb="2">
      <t>トイ</t>
    </rPh>
    <rPh sb="4" eb="6">
      <t>リエキ</t>
    </rPh>
    <rPh sb="6" eb="7">
      <t>リツ</t>
    </rPh>
    <rPh sb="11" eb="13">
      <t>バアイ</t>
    </rPh>
    <phoneticPr fontId="1"/>
  </si>
  <si>
    <t>問5</t>
    <rPh sb="0" eb="1">
      <t>トイ</t>
    </rPh>
    <phoneticPr fontId="1"/>
  </si>
  <si>
    <t>池袋店</t>
    <rPh sb="0" eb="3">
      <t>イケブクロテン</t>
    </rPh>
    <phoneticPr fontId="1"/>
  </si>
  <si>
    <t>投資導入前</t>
    <rPh sb="0" eb="2">
      <t>トウシ</t>
    </rPh>
    <rPh sb="2" eb="4">
      <t>ドウニュウ</t>
    </rPh>
    <rPh sb="4" eb="5">
      <t>マエ</t>
    </rPh>
    <phoneticPr fontId="1"/>
  </si>
  <si>
    <t>投資導入後</t>
    <rPh sb="0" eb="2">
      <t>トウシ</t>
    </rPh>
    <rPh sb="2" eb="4">
      <t>ドウニュウ</t>
    </rPh>
    <rPh sb="4" eb="5">
      <t>ゴ</t>
    </rPh>
    <phoneticPr fontId="1"/>
  </si>
  <si>
    <t>上野店</t>
    <rPh sb="0" eb="2">
      <t>ウエノ</t>
    </rPh>
    <rPh sb="2" eb="3">
      <t>テン</t>
    </rPh>
    <phoneticPr fontId="1"/>
  </si>
  <si>
    <t>←この目標利益が決め、問1～3の結果を使い、ＣＶＰ分析すれば良い。</t>
    <rPh sb="3" eb="5">
      <t>モクヒョウ</t>
    </rPh>
    <rPh sb="5" eb="7">
      <t>リエキ</t>
    </rPh>
    <rPh sb="8" eb="9">
      <t>キ</t>
    </rPh>
    <rPh sb="11" eb="12">
      <t>トイ</t>
    </rPh>
    <rPh sb="16" eb="18">
      <t>ケッカ</t>
    </rPh>
    <rPh sb="19" eb="20">
      <t>ツカ</t>
    </rPh>
    <rPh sb="25" eb="27">
      <t>ブンセキ</t>
    </rPh>
    <rPh sb="30" eb="31">
      <t>ヨ</t>
    </rPh>
    <phoneticPr fontId="1"/>
  </si>
  <si>
    <t>必要な販売量</t>
    <rPh sb="0" eb="2">
      <t>ヒツヨウ</t>
    </rPh>
    <rPh sb="3" eb="5">
      <t>ハンバイ</t>
    </rPh>
    <rPh sb="5" eb="6">
      <t>リョウ</t>
    </rPh>
    <phoneticPr fontId="1"/>
  </si>
  <si>
    <t>枚</t>
    <rPh sb="0" eb="1">
      <t>マイ</t>
    </rPh>
    <phoneticPr fontId="1"/>
  </si>
  <si>
    <t>↑この関数を自分で書くことで、どの条件を使ってCVP計算すべきかを体得できる。</t>
    <rPh sb="3" eb="5">
      <t>カンスウ</t>
    </rPh>
    <rPh sb="6" eb="8">
      <t>ジブン</t>
    </rPh>
    <rPh sb="9" eb="10">
      <t>カ</t>
    </rPh>
    <rPh sb="17" eb="19">
      <t>ジョウケン</t>
    </rPh>
    <rPh sb="20" eb="21">
      <t>ツカ</t>
    </rPh>
    <rPh sb="26" eb="28">
      <t>ケイサン</t>
    </rPh>
    <rPh sb="33" eb="35">
      <t>タイトク</t>
    </rPh>
    <phoneticPr fontId="1"/>
  </si>
  <si>
    <t>↑導入前の投資額、利益に、問3で求めたピザ設備の投資額、利益を足す。</t>
    <rPh sb="1" eb="3">
      <t>ドウニュウ</t>
    </rPh>
    <rPh sb="3" eb="4">
      <t>マエ</t>
    </rPh>
    <rPh sb="5" eb="7">
      <t>トウシ</t>
    </rPh>
    <rPh sb="7" eb="8">
      <t>ガク</t>
    </rPh>
    <rPh sb="9" eb="11">
      <t>リエキ</t>
    </rPh>
    <rPh sb="13" eb="14">
      <t>トイ</t>
    </rPh>
    <rPh sb="16" eb="17">
      <t>モト</t>
    </rPh>
    <rPh sb="21" eb="23">
      <t>セツビ</t>
    </rPh>
    <rPh sb="24" eb="26">
      <t>トウシ</t>
    </rPh>
    <rPh sb="26" eb="27">
      <t>ガク</t>
    </rPh>
    <rPh sb="28" eb="30">
      <t>リエキ</t>
    </rPh>
    <rPh sb="31" eb="32">
      <t>タ</t>
    </rPh>
    <phoneticPr fontId="1"/>
  </si>
  <si>
    <t>問6</t>
    <rPh sb="0" eb="1">
      <t>トイ</t>
    </rPh>
    <phoneticPr fontId="1"/>
  </si>
  <si>
    <t>会話形式の穴埋め問題は記憶効果が高い。イケカコLecture4の知識を使えば、自力で計算できる。</t>
    <rPh sb="0" eb="2">
      <t>カイワ</t>
    </rPh>
    <rPh sb="2" eb="4">
      <t>ケイシキ</t>
    </rPh>
    <rPh sb="5" eb="7">
      <t>アナウ</t>
    </rPh>
    <rPh sb="8" eb="10">
      <t>モンダイ</t>
    </rPh>
    <rPh sb="11" eb="13">
      <t>キオク</t>
    </rPh>
    <rPh sb="13" eb="15">
      <t>コウカ</t>
    </rPh>
    <rPh sb="16" eb="17">
      <t>タカ</t>
    </rPh>
    <rPh sb="32" eb="34">
      <t>チシキ</t>
    </rPh>
    <rPh sb="35" eb="36">
      <t>ツカ</t>
    </rPh>
    <rPh sb="39" eb="41">
      <t>ジリキ</t>
    </rPh>
    <rPh sb="42" eb="44">
      <t>ケイサン</t>
    </rPh>
    <phoneticPr fontId="1"/>
  </si>
  <si>
    <t>①池袋店の投資利益率</t>
    <rPh sb="1" eb="4">
      <t>イケブクロテン</t>
    </rPh>
    <rPh sb="5" eb="7">
      <t>トウシ</t>
    </rPh>
    <rPh sb="7" eb="9">
      <t>リエキ</t>
    </rPh>
    <rPh sb="9" eb="10">
      <t>リツ</t>
    </rPh>
    <phoneticPr fontId="1"/>
  </si>
  <si>
    <t>②上野店の投資利益率</t>
    <rPh sb="1" eb="4">
      <t>ウエノテン</t>
    </rPh>
    <rPh sb="5" eb="7">
      <t>トウシ</t>
    </rPh>
    <rPh sb="7" eb="9">
      <t>リエキ</t>
    </rPh>
    <rPh sb="9" eb="10">
      <t>リツ</t>
    </rPh>
    <phoneticPr fontId="1"/>
  </si>
  <si>
    <t>③池袋店長は投資案を</t>
    <rPh sb="1" eb="4">
      <t>イケブクロテン</t>
    </rPh>
    <rPh sb="4" eb="5">
      <t>チョウ</t>
    </rPh>
    <rPh sb="6" eb="8">
      <t>トウシ</t>
    </rPh>
    <rPh sb="8" eb="9">
      <t>アン</t>
    </rPh>
    <phoneticPr fontId="1"/>
  </si>
  <si>
    <t>④上野店長は投資案を</t>
    <rPh sb="1" eb="3">
      <t>ウエノ</t>
    </rPh>
    <rPh sb="3" eb="5">
      <t>テンチョウ</t>
    </rPh>
    <rPh sb="6" eb="8">
      <t>トウシ</t>
    </rPh>
    <rPh sb="8" eb="9">
      <t>アン</t>
    </rPh>
    <phoneticPr fontId="1"/>
  </si>
  <si>
    <t>⑤投資案は全社的に見れば</t>
    <rPh sb="1" eb="3">
      <t>トウシ</t>
    </rPh>
    <rPh sb="3" eb="4">
      <t>アン</t>
    </rPh>
    <rPh sb="5" eb="8">
      <t>ゼンシャテキ</t>
    </rPh>
    <rPh sb="9" eb="10">
      <t>ミ</t>
    </rPh>
    <phoneticPr fontId="1"/>
  </si>
  <si>
    <t>⑥WACC</t>
    <phoneticPr fontId="1"/>
  </si>
  <si>
    <t>⑦池袋店の資金使用資産総額</t>
    <rPh sb="1" eb="4">
      <t>イケブクロテン</t>
    </rPh>
    <rPh sb="5" eb="7">
      <t>シキン</t>
    </rPh>
    <rPh sb="7" eb="9">
      <t>シヨウ</t>
    </rPh>
    <rPh sb="9" eb="11">
      <t>シサン</t>
    </rPh>
    <rPh sb="11" eb="13">
      <t>ソウガク</t>
    </rPh>
    <phoneticPr fontId="1"/>
  </si>
  <si>
    <t>⑧〃 EVA</t>
    <phoneticPr fontId="1"/>
  </si>
  <si>
    <t>⑨上野店の資金使用資産総額</t>
    <rPh sb="1" eb="4">
      <t>ウエノテン</t>
    </rPh>
    <rPh sb="5" eb="7">
      <t>シキン</t>
    </rPh>
    <rPh sb="7" eb="9">
      <t>シヨウ</t>
    </rPh>
    <rPh sb="9" eb="11">
      <t>シサン</t>
    </rPh>
    <rPh sb="11" eb="13">
      <t>ソウガク</t>
    </rPh>
    <phoneticPr fontId="1"/>
  </si>
  <si>
    <t>⑩〃 EVA</t>
    <phoneticPr fontId="1"/>
  </si>
  <si>
    <t>増加</t>
    <rPh sb="0" eb="2">
      <t>ゾウカ</t>
    </rPh>
    <phoneticPr fontId="1"/>
  </si>
  <si>
    <t>←問5より</t>
    <rPh sb="1" eb="2">
      <t>トイ</t>
    </rPh>
    <phoneticPr fontId="1"/>
  </si>
  <si>
    <t>減少</t>
    <rPh sb="0" eb="2">
      <t>ゲンショウ</t>
    </rPh>
    <phoneticPr fontId="1"/>
  </si>
  <si>
    <t>採用する</t>
    <rPh sb="0" eb="2">
      <t>サイヨウ</t>
    </rPh>
    <phoneticPr fontId="1"/>
  </si>
  <si>
    <t>採用しない</t>
    <rPh sb="0" eb="2">
      <t>サイヨウ</t>
    </rPh>
    <phoneticPr fontId="1"/>
  </si>
  <si>
    <t>有利</t>
    <rPh sb="0" eb="2">
      <t>ユウリ</t>
    </rPh>
    <phoneticPr fontId="1"/>
  </si>
  <si>
    <t>←問3より</t>
    <rPh sb="1" eb="2">
      <t>トイ</t>
    </rPh>
    <phoneticPr fontId="1"/>
  </si>
  <si>
    <t>WACCの計算</t>
    <rPh sb="5" eb="7">
      <t>ケイサン</t>
    </rPh>
    <phoneticPr fontId="1"/>
  </si>
  <si>
    <t>負債</t>
    <rPh sb="0" eb="2">
      <t>フサイ</t>
    </rPh>
    <phoneticPr fontId="1"/>
  </si>
  <si>
    <t>資本</t>
    <rPh sb="0" eb="2">
      <t>シホン</t>
    </rPh>
    <phoneticPr fontId="1"/>
  </si>
  <si>
    <t>WACC</t>
    <phoneticPr fontId="1"/>
  </si>
  <si>
    <t>※右図参照</t>
    <rPh sb="1" eb="2">
      <t>ミギ</t>
    </rPh>
    <rPh sb="2" eb="3">
      <t>ズ</t>
    </rPh>
    <rPh sb="3" eb="5">
      <t>サンショウ</t>
    </rPh>
    <phoneticPr fontId="1"/>
  </si>
  <si>
    <t>上野店</t>
    <rPh sb="0" eb="3">
      <t>ウエノテン</t>
    </rPh>
    <phoneticPr fontId="1"/>
  </si>
  <si>
    <t>池袋店</t>
    <rPh sb="0" eb="3">
      <t>イケブクロテン</t>
    </rPh>
    <phoneticPr fontId="1"/>
  </si>
  <si>
    <t>ピザ投資案</t>
    <rPh sb="2" eb="4">
      <t>トウシ</t>
    </rPh>
    <rPh sb="4" eb="5">
      <t>アン</t>
    </rPh>
    <phoneticPr fontId="1"/>
  </si>
  <si>
    <t>資金使用総資産額の計算   単位：万円</t>
    <rPh sb="0" eb="2">
      <t>シキン</t>
    </rPh>
    <rPh sb="2" eb="4">
      <t>シヨウ</t>
    </rPh>
    <rPh sb="4" eb="7">
      <t>ソウシサン</t>
    </rPh>
    <rPh sb="7" eb="8">
      <t>ガク</t>
    </rPh>
    <rPh sb="9" eb="11">
      <t>ケイサン</t>
    </rPh>
    <rPh sb="14" eb="16">
      <t>タンイ</t>
    </rPh>
    <rPh sb="17" eb="19">
      <t>マンエン</t>
    </rPh>
    <phoneticPr fontId="1"/>
  </si>
  <si>
    <t>①資産</t>
    <rPh sb="1" eb="3">
      <t>シサン</t>
    </rPh>
    <phoneticPr fontId="1"/>
  </si>
  <si>
    <t>②流動負債</t>
    <rPh sb="1" eb="3">
      <t>リュウドウ</t>
    </rPh>
    <rPh sb="3" eb="5">
      <t>フサイ</t>
    </rPh>
    <phoneticPr fontId="1"/>
  </si>
  <si>
    <t>①－②</t>
    <phoneticPr fontId="1"/>
  </si>
  <si>
    <t>※右下図参照。単位を円に揃えておく</t>
    <rPh sb="1" eb="2">
      <t>ミギ</t>
    </rPh>
    <rPh sb="2" eb="4">
      <t>シタズ</t>
    </rPh>
    <rPh sb="4" eb="6">
      <t>サンショウ</t>
    </rPh>
    <rPh sb="7" eb="9">
      <t>タンイ</t>
    </rPh>
    <rPh sb="10" eb="11">
      <t>エン</t>
    </rPh>
    <rPh sb="12" eb="13">
      <t>ソロ</t>
    </rPh>
    <phoneticPr fontId="1"/>
  </si>
  <si>
    <t>←計算していないが、投資前よりプラス</t>
    <rPh sb="1" eb="3">
      <t>ケイサン</t>
    </rPh>
    <rPh sb="10" eb="12">
      <t>トウシ</t>
    </rPh>
    <rPh sb="12" eb="13">
      <t>マエ</t>
    </rPh>
    <phoneticPr fontId="1"/>
  </si>
  <si>
    <t>当問は、会計利益率が下がることを理由に嫌がる上野店長に、ピザ投資案を受け入れさせるためにEVAをどう使うか、のストーリー仕立てにすると覚えやすい。</t>
    <rPh sb="0" eb="1">
      <t>トウ</t>
    </rPh>
    <rPh sb="1" eb="2">
      <t>モン</t>
    </rPh>
    <rPh sb="4" eb="6">
      <t>カイケイ</t>
    </rPh>
    <rPh sb="6" eb="8">
      <t>リエキ</t>
    </rPh>
    <rPh sb="8" eb="9">
      <t>リツ</t>
    </rPh>
    <rPh sb="10" eb="11">
      <t>サ</t>
    </rPh>
    <rPh sb="16" eb="18">
      <t>リユウ</t>
    </rPh>
    <rPh sb="19" eb="20">
      <t>イヤ</t>
    </rPh>
    <rPh sb="22" eb="24">
      <t>ウエノ</t>
    </rPh>
    <rPh sb="24" eb="26">
      <t>テンチョウ</t>
    </rPh>
    <rPh sb="30" eb="32">
      <t>トウシ</t>
    </rPh>
    <rPh sb="32" eb="33">
      <t>アン</t>
    </rPh>
    <rPh sb="34" eb="35">
      <t>ウ</t>
    </rPh>
    <rPh sb="36" eb="37">
      <t>イ</t>
    </rPh>
    <rPh sb="50" eb="51">
      <t>ツカ</t>
    </rPh>
    <rPh sb="60" eb="62">
      <t>シタ</t>
    </rPh>
    <rPh sb="67" eb="68">
      <t>オボ</t>
    </rPh>
    <phoneticPr fontId="1"/>
  </si>
  <si>
    <t>・問1～ 4  は、Lecture2 CVP分析の問題。</t>
    <rPh sb="1" eb="2">
      <t>トイ</t>
    </rPh>
    <rPh sb="22" eb="24">
      <t>ブンセキ</t>
    </rPh>
    <rPh sb="25" eb="27">
      <t>モンダイ</t>
    </rPh>
    <phoneticPr fontId="1"/>
  </si>
  <si>
    <t>・問5、問6は業績評価基準としての会計的投資利益率⇔EVAを比較させる問題。Lecture4の復習として解き、このあと4を解き直すと相乗効果でパワーアップ。</t>
    <rPh sb="1" eb="2">
      <t>トイ</t>
    </rPh>
    <rPh sb="4" eb="5">
      <t>トイ</t>
    </rPh>
    <rPh sb="7" eb="9">
      <t>ギョウセキ</t>
    </rPh>
    <rPh sb="9" eb="11">
      <t>ヒョウカ</t>
    </rPh>
    <rPh sb="11" eb="13">
      <t>キジュン</t>
    </rPh>
    <rPh sb="17" eb="20">
      <t>カイケイテキ</t>
    </rPh>
    <rPh sb="20" eb="22">
      <t>トウシ</t>
    </rPh>
    <rPh sb="22" eb="24">
      <t>リエキ</t>
    </rPh>
    <rPh sb="24" eb="25">
      <t>リツ</t>
    </rPh>
    <rPh sb="30" eb="32">
      <t>ヒカク</t>
    </rPh>
    <rPh sb="35" eb="37">
      <t>モンダイ</t>
    </rPh>
    <rPh sb="47" eb="49">
      <t>フクシュウ</t>
    </rPh>
    <rPh sb="52" eb="53">
      <t>ト</t>
    </rPh>
    <rPh sb="61" eb="62">
      <t>ト</t>
    </rPh>
    <rPh sb="63" eb="64">
      <t>ナオ</t>
    </rPh>
    <rPh sb="66" eb="68">
      <t>ソウジョウ</t>
    </rPh>
    <rPh sb="68" eb="70">
      <t>コウカ</t>
    </rPh>
    <phoneticPr fontId="1"/>
  </si>
  <si>
    <t>3限目 問題3</t>
    <rPh sb="1" eb="3">
      <t>ゲンメ</t>
    </rPh>
    <rPh sb="4" eb="6">
      <t>モンダイ</t>
    </rPh>
    <phoneticPr fontId="1"/>
  </si>
  <si>
    <t>・｢反復投資｣ときたら、互いを比較するため、耐用年数の最小公倍数を使い、計算期間を6年に揃えてから計算する。</t>
    <rPh sb="2" eb="4">
      <t>ハンプク</t>
    </rPh>
    <rPh sb="4" eb="6">
      <t>トウシ</t>
    </rPh>
    <rPh sb="12" eb="13">
      <t>タガ</t>
    </rPh>
    <rPh sb="15" eb="17">
      <t>ヒカク</t>
    </rPh>
    <rPh sb="22" eb="24">
      <t>タイヨウ</t>
    </rPh>
    <rPh sb="24" eb="26">
      <t>ネンスウ</t>
    </rPh>
    <rPh sb="27" eb="29">
      <t>サイショウ</t>
    </rPh>
    <rPh sb="29" eb="32">
      <t>コウバイスウ</t>
    </rPh>
    <rPh sb="33" eb="34">
      <t>ツカ</t>
    </rPh>
    <rPh sb="36" eb="38">
      <t>ケイサン</t>
    </rPh>
    <rPh sb="38" eb="40">
      <t>キカン</t>
    </rPh>
    <rPh sb="42" eb="43">
      <t>ネン</t>
    </rPh>
    <rPh sb="44" eb="45">
      <t>ソロ</t>
    </rPh>
    <rPh sb="49" eb="51">
      <t>ケイサン</t>
    </rPh>
    <phoneticPr fontId="1"/>
  </si>
  <si>
    <t>α機械を3回買い、6年使う時のNPV</t>
    <rPh sb="1" eb="3">
      <t>キカイ</t>
    </rPh>
    <rPh sb="5" eb="6">
      <t>カイ</t>
    </rPh>
    <rPh sb="6" eb="7">
      <t>カ</t>
    </rPh>
    <rPh sb="10" eb="11">
      <t>ネン</t>
    </rPh>
    <rPh sb="11" eb="12">
      <t>ツカ</t>
    </rPh>
    <rPh sb="13" eb="14">
      <t>トキ</t>
    </rPh>
    <phoneticPr fontId="1"/>
  </si>
  <si>
    <t>Y6</t>
    <phoneticPr fontId="1"/>
  </si>
  <si>
    <t>タックスシールド</t>
  </si>
  <si>
    <t>タックスシールド</t>
    <phoneticPr fontId="1"/>
  </si>
  <si>
    <t>不明</t>
    <rPh sb="0" eb="2">
      <t>フメイ</t>
    </rPh>
    <phoneticPr fontId="1"/>
  </si>
  <si>
    <t>TS額</t>
    <rPh sb="2" eb="3">
      <t>ガク</t>
    </rPh>
    <phoneticPr fontId="1"/>
  </si>
  <si>
    <t>現金支出</t>
    <rPh sb="0" eb="2">
      <t>ゲンキン</t>
    </rPh>
    <rPh sb="2" eb="4">
      <t>シシュツ</t>
    </rPh>
    <phoneticPr fontId="1"/>
  </si>
  <si>
    <t>現金支出分TS</t>
    <rPh sb="0" eb="2">
      <t>ゲンキン</t>
    </rPh>
    <rPh sb="2" eb="4">
      <t>シシュツ</t>
    </rPh>
    <rPh sb="4" eb="5">
      <t>ブン</t>
    </rPh>
    <phoneticPr fontId="1"/>
  </si>
  <si>
    <t>減価償却費TS</t>
    <rPh sb="0" eb="2">
      <t>ゲンカ</t>
    </rPh>
    <rPh sb="2" eb="4">
      <t>ショウキャク</t>
    </rPh>
    <rPh sb="4" eb="5">
      <t>ヒ</t>
    </rPh>
    <phoneticPr fontId="1"/>
  </si>
  <si>
    <t>WACC</t>
    <phoneticPr fontId="1"/>
  </si>
  <si>
    <t>現在価値</t>
    <rPh sb="0" eb="2">
      <t>ゲンザイ</t>
    </rPh>
    <rPh sb="2" eb="4">
      <t>カチ</t>
    </rPh>
    <phoneticPr fontId="1"/>
  </si>
  <si>
    <t>β機械を3回買い、6年使う時のNPV</t>
    <rPh sb="1" eb="3">
      <t>キカイ</t>
    </rPh>
    <rPh sb="5" eb="6">
      <t>カイ</t>
    </rPh>
    <rPh sb="6" eb="7">
      <t>カ</t>
    </rPh>
    <rPh sb="10" eb="11">
      <t>ネン</t>
    </rPh>
    <rPh sb="11" eb="12">
      <t>ツカ</t>
    </rPh>
    <rPh sb="13" eb="14">
      <t>トキ</t>
    </rPh>
    <phoneticPr fontId="1"/>
  </si>
  <si>
    <t>β機械の許容現金支出額</t>
    <rPh sb="1" eb="3">
      <t>キカイ</t>
    </rPh>
    <rPh sb="4" eb="6">
      <t>キョヨウ</t>
    </rPh>
    <rPh sb="6" eb="8">
      <t>ゲンキン</t>
    </rPh>
    <rPh sb="8" eb="10">
      <t>シシュツ</t>
    </rPh>
    <rPh sb="10" eb="11">
      <t>ガク</t>
    </rPh>
    <phoneticPr fontId="1"/>
  </si>
  <si>
    <t>・当問は、計算が非常に煩雑な難問である一方、解説が極めて不親切。基本的に解かなくて良いが、この手の問題であえて悩んで頭を鍛える時間があれば、それはそれで効果あり。</t>
    <rPh sb="1" eb="2">
      <t>トウ</t>
    </rPh>
    <rPh sb="2" eb="3">
      <t>モン</t>
    </rPh>
    <rPh sb="5" eb="7">
      <t>ケイサン</t>
    </rPh>
    <rPh sb="8" eb="10">
      <t>ヒジョウ</t>
    </rPh>
    <rPh sb="11" eb="13">
      <t>ハンザツ</t>
    </rPh>
    <rPh sb="14" eb="16">
      <t>ナンモン</t>
    </rPh>
    <rPh sb="19" eb="21">
      <t>イッポウ</t>
    </rPh>
    <rPh sb="22" eb="24">
      <t>カイセツ</t>
    </rPh>
    <rPh sb="25" eb="26">
      <t>キワ</t>
    </rPh>
    <rPh sb="28" eb="31">
      <t>フシンセツ</t>
    </rPh>
    <rPh sb="32" eb="35">
      <t>キホンテキ</t>
    </rPh>
    <rPh sb="36" eb="37">
      <t>ト</t>
    </rPh>
    <rPh sb="41" eb="42">
      <t>ヨ</t>
    </rPh>
    <rPh sb="47" eb="48">
      <t>テ</t>
    </rPh>
    <rPh sb="49" eb="51">
      <t>モンダイ</t>
    </rPh>
    <rPh sb="55" eb="56">
      <t>ナヤ</t>
    </rPh>
    <rPh sb="58" eb="59">
      <t>アタマ</t>
    </rPh>
    <rPh sb="60" eb="61">
      <t>キタ</t>
    </rPh>
    <rPh sb="63" eb="65">
      <t>ジカン</t>
    </rPh>
    <rPh sb="76" eb="78">
      <t>コウカ</t>
    </rPh>
    <phoneticPr fontId="1"/>
  </si>
  <si>
    <t>Lecture 11 原価計算の新領域(当時)</t>
    <rPh sb="11" eb="13">
      <t>ゲンカ</t>
    </rPh>
    <rPh sb="13" eb="15">
      <t>ケイサン</t>
    </rPh>
    <rPh sb="16" eb="19">
      <t>シンリョウイキ</t>
    </rPh>
    <rPh sb="20" eb="22">
      <t>トウジ</t>
    </rPh>
    <phoneticPr fontId="1"/>
  </si>
  <si>
    <t>・ライフサイクルコスティングの基本手順を学ぶ。つまり通常のPLに加え、前後のいろんな費用を織り込む。</t>
    <rPh sb="15" eb="17">
      <t>キホン</t>
    </rPh>
    <rPh sb="17" eb="19">
      <t>テジュン</t>
    </rPh>
    <rPh sb="20" eb="21">
      <t>マナ</t>
    </rPh>
    <rPh sb="26" eb="28">
      <t>ツウジョウ</t>
    </rPh>
    <rPh sb="32" eb="33">
      <t>クワ</t>
    </rPh>
    <rPh sb="35" eb="37">
      <t>ゼンゴ</t>
    </rPh>
    <rPh sb="42" eb="44">
      <t>ヒヨウ</t>
    </rPh>
    <rPh sb="45" eb="46">
      <t>オ</t>
    </rPh>
    <rPh sb="47" eb="48">
      <t>コ</t>
    </rPh>
    <phoneticPr fontId="1"/>
  </si>
  <si>
    <t>問1 ライフサイクルPL</t>
    <rPh sb="0" eb="1">
      <t>トイ</t>
    </rPh>
    <phoneticPr fontId="1"/>
  </si>
  <si>
    <t>★研究開発及び設計費用</t>
    <rPh sb="1" eb="3">
      <t>ケンキュウ</t>
    </rPh>
    <rPh sb="3" eb="5">
      <t>カイハツ</t>
    </rPh>
    <rPh sb="5" eb="6">
      <t>オヨ</t>
    </rPh>
    <rPh sb="7" eb="9">
      <t>セッケイ</t>
    </rPh>
    <rPh sb="9" eb="11">
      <t>ヒヨウ</t>
    </rPh>
    <phoneticPr fontId="1"/>
  </si>
  <si>
    <t>製造費用</t>
    <rPh sb="0" eb="2">
      <t>セイゾウ</t>
    </rPh>
    <rPh sb="2" eb="4">
      <t>ヒヨウ</t>
    </rPh>
    <phoneticPr fontId="1"/>
  </si>
  <si>
    <t>ライフサイクルコスト</t>
    <phoneticPr fontId="1"/>
  </si>
  <si>
    <t xml:space="preserve">   変動費</t>
    <rPh sb="3" eb="5">
      <t>ヘンドウ</t>
    </rPh>
    <rPh sb="5" eb="6">
      <t>ヒ</t>
    </rPh>
    <phoneticPr fontId="1"/>
  </si>
  <si>
    <t xml:space="preserve">   固定費</t>
    <rPh sb="3" eb="5">
      <t>コテイ</t>
    </rPh>
    <rPh sb="5" eb="6">
      <t>ヒ</t>
    </rPh>
    <phoneticPr fontId="1"/>
  </si>
  <si>
    <t>販売費</t>
    <rPh sb="0" eb="2">
      <t>ハンバイ</t>
    </rPh>
    <rPh sb="2" eb="3">
      <t>ヒ</t>
    </rPh>
    <phoneticPr fontId="1"/>
  </si>
  <si>
    <t>物流費</t>
    <rPh sb="0" eb="2">
      <t>ブツリュウ</t>
    </rPh>
    <rPh sb="2" eb="3">
      <t>ヒ</t>
    </rPh>
    <phoneticPr fontId="1"/>
  </si>
  <si>
    <t>個数</t>
    <rPh sb="0" eb="2">
      <t>コスウ</t>
    </rPh>
    <phoneticPr fontId="1"/>
  </si>
  <si>
    <t>★顧客サービス費用</t>
    <rPh sb="1" eb="3">
      <t>コキャク</t>
    </rPh>
    <rPh sb="7" eb="9">
      <t>ヒヨウ</t>
    </rPh>
    <phoneticPr fontId="1"/>
  </si>
  <si>
    <t>←ここが増えた</t>
    <rPh sb="4" eb="5">
      <t>フ</t>
    </rPh>
    <phoneticPr fontId="1"/>
  </si>
  <si>
    <t>↑ここが増えた</t>
    <rPh sb="4" eb="5">
      <t>フ</t>
    </rPh>
    <phoneticPr fontId="1"/>
  </si>
  <si>
    <t>研究開発及び設計費用/ライフサイクルコスト＝</t>
    <rPh sb="0" eb="2">
      <t>ケンキュウ</t>
    </rPh>
    <rPh sb="2" eb="4">
      <t>カイハツ</t>
    </rPh>
    <rPh sb="4" eb="5">
      <t>オヨ</t>
    </rPh>
    <rPh sb="6" eb="8">
      <t>セッケイ</t>
    </rPh>
    <rPh sb="8" eb="10">
      <t>ヒヨウ</t>
    </rPh>
    <phoneticPr fontId="1"/>
  </si>
  <si>
    <t>省略</t>
    <rPh sb="0" eb="2">
      <t>ショウリャク</t>
    </rPh>
    <phoneticPr fontId="1"/>
  </si>
  <si>
    <t>・知らなければ解けない。逆に一度目を通しておくだけで、もし出題されても簡単に解ける。</t>
    <rPh sb="1" eb="2">
      <t>シ</t>
    </rPh>
    <rPh sb="7" eb="8">
      <t>ト</t>
    </rPh>
    <rPh sb="12" eb="13">
      <t>ギャク</t>
    </rPh>
    <rPh sb="14" eb="16">
      <t>イチド</t>
    </rPh>
    <rPh sb="16" eb="17">
      <t>メ</t>
    </rPh>
    <rPh sb="18" eb="19">
      <t>トオ</t>
    </rPh>
    <rPh sb="29" eb="31">
      <t>シュツダイ</t>
    </rPh>
    <rPh sb="35" eb="37">
      <t>カンタン</t>
    </rPh>
    <rPh sb="38" eb="39">
      <t>ト</t>
    </rPh>
    <phoneticPr fontId="1"/>
  </si>
  <si>
    <t>品質不良による仕損品在庫の廃棄費用</t>
    <rPh sb="0" eb="2">
      <t>ヒンシツ</t>
    </rPh>
    <rPh sb="2" eb="4">
      <t>フリョウ</t>
    </rPh>
    <rPh sb="7" eb="9">
      <t>シソンジ</t>
    </rPh>
    <rPh sb="9" eb="10">
      <t>ヒン</t>
    </rPh>
    <rPh sb="10" eb="12">
      <t>ザイコ</t>
    </rPh>
    <rPh sb="13" eb="15">
      <t>ハイキ</t>
    </rPh>
    <rPh sb="15" eb="17">
      <t>ヒヨウ</t>
    </rPh>
    <phoneticPr fontId="1"/>
  </si>
  <si>
    <t>品質が原因の機械停止に伴って生じた費用</t>
    <rPh sb="0" eb="2">
      <t>ヒンシツ</t>
    </rPh>
    <rPh sb="3" eb="5">
      <t>ゲンイン</t>
    </rPh>
    <rPh sb="6" eb="8">
      <t>キカイ</t>
    </rPh>
    <rPh sb="8" eb="10">
      <t>テイシ</t>
    </rPh>
    <rPh sb="11" eb="12">
      <t>トモナ</t>
    </rPh>
    <rPh sb="14" eb="15">
      <t>ショウ</t>
    </rPh>
    <rPh sb="17" eb="19">
      <t>ヒヨウ</t>
    </rPh>
    <phoneticPr fontId="1"/>
  </si>
  <si>
    <t>検査機械の減価償却費</t>
    <rPh sb="0" eb="2">
      <t>ケンサ</t>
    </rPh>
    <rPh sb="2" eb="4">
      <t>キカイ</t>
    </rPh>
    <rPh sb="5" eb="7">
      <t>ゲンカ</t>
    </rPh>
    <rPh sb="7" eb="9">
      <t>ショウキャク</t>
    </rPh>
    <rPh sb="9" eb="10">
      <t>ヒ</t>
    </rPh>
    <phoneticPr fontId="1"/>
  </si>
  <si>
    <t>顧客苦情部門の維持費</t>
    <rPh sb="0" eb="2">
      <t>コキャク</t>
    </rPh>
    <rPh sb="2" eb="4">
      <t>クジョウ</t>
    </rPh>
    <rPh sb="4" eb="6">
      <t>ブモン</t>
    </rPh>
    <rPh sb="7" eb="10">
      <t>イジヒ</t>
    </rPh>
    <phoneticPr fontId="1"/>
  </si>
  <si>
    <t>製造物責任保険費用</t>
    <rPh sb="0" eb="2">
      <t>セイゾウ</t>
    </rPh>
    <rPh sb="2" eb="3">
      <t>ブツ</t>
    </rPh>
    <rPh sb="3" eb="5">
      <t>セキニン</t>
    </rPh>
    <rPh sb="5" eb="7">
      <t>ホケン</t>
    </rPh>
    <rPh sb="7" eb="9">
      <t>ヒヨウ</t>
    </rPh>
    <phoneticPr fontId="1"/>
  </si>
  <si>
    <t>品質管理教育費用</t>
    <rPh sb="0" eb="2">
      <t>ヒンシツ</t>
    </rPh>
    <rPh sb="2" eb="4">
      <t>カンリ</t>
    </rPh>
    <rPh sb="4" eb="6">
      <t>キョウイク</t>
    </rPh>
    <rPh sb="6" eb="8">
      <t>ヒヨウ</t>
    </rPh>
    <phoneticPr fontId="1"/>
  </si>
  <si>
    <t>出庫前の製品の再検査費用</t>
    <rPh sb="0" eb="2">
      <t>シュッコ</t>
    </rPh>
    <rPh sb="2" eb="3">
      <t>マエ</t>
    </rPh>
    <rPh sb="4" eb="6">
      <t>セイヒン</t>
    </rPh>
    <rPh sb="7" eb="10">
      <t>サイケンサ</t>
    </rPh>
    <rPh sb="10" eb="12">
      <t>ヒヨウ</t>
    </rPh>
    <phoneticPr fontId="1"/>
  </si>
  <si>
    <t>新部品納入業者の評価費用</t>
    <rPh sb="0" eb="1">
      <t>シン</t>
    </rPh>
    <rPh sb="1" eb="3">
      <t>ブヒン</t>
    </rPh>
    <rPh sb="3" eb="5">
      <t>ノウニュウ</t>
    </rPh>
    <rPh sb="5" eb="7">
      <t>ギョウシャ</t>
    </rPh>
    <rPh sb="8" eb="10">
      <t>ヒョウカ</t>
    </rPh>
    <rPh sb="10" eb="12">
      <t>ヒヨウ</t>
    </rPh>
    <phoneticPr fontId="1"/>
  </si>
  <si>
    <t>試作品検査費用</t>
    <rPh sb="0" eb="3">
      <t>シサクヒン</t>
    </rPh>
    <rPh sb="3" eb="5">
      <t>ケンサ</t>
    </rPh>
    <rPh sb="5" eb="7">
      <t>ヒヨウ</t>
    </rPh>
    <phoneticPr fontId="1"/>
  </si>
  <si>
    <t>購入部品の検査費用</t>
    <rPh sb="0" eb="2">
      <t>コウニュウ</t>
    </rPh>
    <rPh sb="2" eb="4">
      <t>ブヒン</t>
    </rPh>
    <rPh sb="5" eb="7">
      <t>ケンサ</t>
    </rPh>
    <rPh sb="7" eb="9">
      <t>ヒヨウ</t>
    </rPh>
    <phoneticPr fontId="1"/>
  </si>
  <si>
    <t>製品保証サービス費用</t>
    <rPh sb="0" eb="2">
      <t>セイヒン</t>
    </rPh>
    <rPh sb="2" eb="4">
      <t>ホショウ</t>
    </rPh>
    <rPh sb="8" eb="10">
      <t>ヒヨウ</t>
    </rPh>
    <phoneticPr fontId="1"/>
  </si>
  <si>
    <t>不良品の再加工作業労務費</t>
    <rPh sb="0" eb="1">
      <t>フ</t>
    </rPh>
    <rPh sb="1" eb="3">
      <t>リョウヒン</t>
    </rPh>
    <rPh sb="4" eb="7">
      <t>サイカコウ</t>
    </rPh>
    <rPh sb="7" eb="9">
      <t>サギョウ</t>
    </rPh>
    <rPh sb="9" eb="12">
      <t>ロウムヒ</t>
    </rPh>
    <phoneticPr fontId="1"/>
  </si>
  <si>
    <t>分類をつけ、SUMIF関数で集計する</t>
    <rPh sb="0" eb="2">
      <t>ブンルイ</t>
    </rPh>
    <rPh sb="11" eb="13">
      <t>カンスウ</t>
    </rPh>
    <rPh sb="14" eb="16">
      <t>シュウケイ</t>
    </rPh>
    <phoneticPr fontId="1"/>
  </si>
  <si>
    <t>①予防原価</t>
    <rPh sb="1" eb="3">
      <t>ヨボウ</t>
    </rPh>
    <rPh sb="3" eb="5">
      <t>ゲンカ</t>
    </rPh>
    <phoneticPr fontId="1"/>
  </si>
  <si>
    <t>②評価原価</t>
    <rPh sb="1" eb="3">
      <t>ヒョウカ</t>
    </rPh>
    <rPh sb="3" eb="5">
      <t>ゲンカ</t>
    </rPh>
    <phoneticPr fontId="1"/>
  </si>
  <si>
    <t>③内部失敗原価</t>
    <rPh sb="1" eb="3">
      <t>ナイブ</t>
    </rPh>
    <rPh sb="3" eb="5">
      <t>シッパイ</t>
    </rPh>
    <rPh sb="5" eb="7">
      <t>ゲンカ</t>
    </rPh>
    <phoneticPr fontId="1"/>
  </si>
  <si>
    <t>④外部失敗原価</t>
    <rPh sb="1" eb="3">
      <t>ガイブ</t>
    </rPh>
    <rPh sb="3" eb="5">
      <t>シッパイ</t>
    </rPh>
    <rPh sb="5" eb="7">
      <t>ゲンカ</t>
    </rPh>
    <phoneticPr fontId="1"/>
  </si>
  <si>
    <t>※PLの作成は省略</t>
    <rPh sb="4" eb="6">
      <t>サクセイ</t>
    </rPh>
    <rPh sb="7" eb="9">
      <t>ショウリャク</t>
    </rPh>
    <phoneticPr fontId="1"/>
  </si>
  <si>
    <t>・列挙したコストを、4つの分類にどう紐付けるかの知識練習問題。</t>
    <rPh sb="1" eb="3">
      <t>レッキョ</t>
    </rPh>
    <rPh sb="13" eb="15">
      <t>ブンルイ</t>
    </rPh>
    <rPh sb="18" eb="19">
      <t>ヒモ</t>
    </rPh>
    <rPh sb="19" eb="20">
      <t>ツ</t>
    </rPh>
    <rPh sb="24" eb="26">
      <t>チシキ</t>
    </rPh>
    <rPh sb="26" eb="28">
      <t>レンシュウ</t>
    </rPh>
    <rPh sb="28" eb="30">
      <t>モンダイ</t>
    </rPh>
    <phoneticPr fontId="1"/>
  </si>
  <si>
    <t xml:space="preserve">  設計</t>
    <rPh sb="2" eb="4">
      <t>セッケイ</t>
    </rPh>
    <phoneticPr fontId="1"/>
  </si>
  <si>
    <t xml:space="preserve">  検査費用</t>
    <rPh sb="2" eb="4">
      <t>ケンサ</t>
    </rPh>
    <rPh sb="4" eb="6">
      <t>ヒヨウ</t>
    </rPh>
    <phoneticPr fontId="1"/>
  </si>
  <si>
    <t xml:space="preserve">  再加工費</t>
    <rPh sb="2" eb="6">
      <t>サイカコウヒ</t>
    </rPh>
    <phoneticPr fontId="1"/>
  </si>
  <si>
    <t xml:space="preserve">  補修費</t>
    <rPh sb="2" eb="4">
      <t>ホシュウ</t>
    </rPh>
    <rPh sb="4" eb="5">
      <t>ヒ</t>
    </rPh>
    <phoneticPr fontId="1"/>
  </si>
  <si>
    <t>使用量</t>
    <rPh sb="0" eb="2">
      <t>シヨウ</t>
    </rPh>
    <rPh sb="2" eb="3">
      <t>リョウ</t>
    </rPh>
    <phoneticPr fontId="1"/>
  </si>
  <si>
    <t>h</t>
    <phoneticPr fontId="1"/>
  </si>
  <si>
    <t>h</t>
    <phoneticPr fontId="1"/>
  </si>
  <si>
    <t>対売上高比率</t>
    <rPh sb="0" eb="1">
      <t>タイ</t>
    </rPh>
    <rPh sb="1" eb="3">
      <t>ウリアゲ</t>
    </rPh>
    <rPh sb="3" eb="4">
      <t>ダカ</t>
    </rPh>
    <rPh sb="4" eb="6">
      <t>ヒリツ</t>
    </rPh>
    <phoneticPr fontId="1"/>
  </si>
  <si>
    <t>Aタイプ</t>
    <phoneticPr fontId="1"/>
  </si>
  <si>
    <t>Bタイプ</t>
    <phoneticPr fontId="1"/>
  </si>
  <si>
    <t>逸失販売利益</t>
    <rPh sb="0" eb="2">
      <t>イッシツ</t>
    </rPh>
    <rPh sb="2" eb="4">
      <t>ハンバイ</t>
    </rPh>
    <rPh sb="4" eb="6">
      <t>リエキ</t>
    </rPh>
    <phoneticPr fontId="1"/>
  </si>
  <si>
    <t>単位</t>
    <rPh sb="0" eb="2">
      <t>タンイ</t>
    </rPh>
    <phoneticPr fontId="1"/>
  </si>
  <si>
    <t>・費用を4つの分類に紐付ければ、後は単なる計算問題。</t>
    <rPh sb="1" eb="3">
      <t>ヒヨウ</t>
    </rPh>
    <rPh sb="7" eb="9">
      <t>ブンルイ</t>
    </rPh>
    <rPh sb="10" eb="11">
      <t>ヒモ</t>
    </rPh>
    <rPh sb="11" eb="12">
      <t>ツ</t>
    </rPh>
    <rPh sb="16" eb="17">
      <t>アト</t>
    </rPh>
    <rPh sb="18" eb="19">
      <t>タン</t>
    </rPh>
    <rPh sb="21" eb="23">
      <t>ケイサン</t>
    </rPh>
    <rPh sb="23" eb="25">
      <t>モンダイ</t>
    </rPh>
    <phoneticPr fontId="1"/>
  </si>
  <si>
    <t>・最後に問2の解説を使い、コストと品質の考え方を説明できるようにしておくと万全。</t>
    <rPh sb="1" eb="3">
      <t>サイゴ</t>
    </rPh>
    <rPh sb="4" eb="5">
      <t>トイ</t>
    </rPh>
    <rPh sb="7" eb="9">
      <t>カイセツ</t>
    </rPh>
    <rPh sb="10" eb="11">
      <t>ツカ</t>
    </rPh>
    <rPh sb="17" eb="19">
      <t>ヒンシツ</t>
    </rPh>
    <rPh sb="20" eb="21">
      <t>カンガ</t>
    </rPh>
    <rPh sb="22" eb="23">
      <t>カタ</t>
    </rPh>
    <rPh sb="24" eb="26">
      <t>セツメイ</t>
    </rPh>
    <rPh sb="37" eb="39">
      <t>バンゼン</t>
    </rPh>
    <phoneticPr fontId="1"/>
  </si>
  <si>
    <t>・ライフサイクルコスティング＋NPVでの比較を求められたので、A～C社それぞれタイムテーブルを用意し、問1→割り引かない、問2→PVに割り引いて比較する。</t>
    <rPh sb="20" eb="22">
      <t>ヒカク</t>
    </rPh>
    <rPh sb="23" eb="24">
      <t>モト</t>
    </rPh>
    <rPh sb="34" eb="35">
      <t>シャ</t>
    </rPh>
    <rPh sb="47" eb="49">
      <t>ヨウイ</t>
    </rPh>
    <rPh sb="51" eb="52">
      <t>トイ</t>
    </rPh>
    <rPh sb="54" eb="55">
      <t>ワ</t>
    </rPh>
    <rPh sb="56" eb="57">
      <t>ビ</t>
    </rPh>
    <rPh sb="61" eb="62">
      <t>トイ</t>
    </rPh>
    <rPh sb="67" eb="68">
      <t>ワ</t>
    </rPh>
    <rPh sb="69" eb="70">
      <t>ビ</t>
    </rPh>
    <rPh sb="72" eb="74">
      <t>ヒカク</t>
    </rPh>
    <phoneticPr fontId="1"/>
  </si>
  <si>
    <t>A社</t>
    <rPh sb="1" eb="2">
      <t>シャ</t>
    </rPh>
    <phoneticPr fontId="1"/>
  </si>
  <si>
    <t>B社</t>
    <rPh sb="1" eb="2">
      <t>シャ</t>
    </rPh>
    <phoneticPr fontId="1"/>
  </si>
  <si>
    <t>C社</t>
    <rPh sb="1" eb="2">
      <t>シャ</t>
    </rPh>
    <phoneticPr fontId="1"/>
  </si>
  <si>
    <t>Y1</t>
    <phoneticPr fontId="1"/>
  </si>
  <si>
    <t>Y3</t>
    <phoneticPr fontId="1"/>
  </si>
  <si>
    <t>①サーバ価格</t>
    <rPh sb="4" eb="6">
      <t>カカク</t>
    </rPh>
    <phoneticPr fontId="1"/>
  </si>
  <si>
    <t>②端末1台あたりの価格</t>
    <rPh sb="1" eb="3">
      <t>タンマツ</t>
    </rPh>
    <rPh sb="4" eb="5">
      <t>ダイ</t>
    </rPh>
    <rPh sb="9" eb="11">
      <t>カカク</t>
    </rPh>
    <phoneticPr fontId="1"/>
  </si>
  <si>
    <t>③初期セットアップ費用</t>
    <rPh sb="1" eb="3">
      <t>ショキ</t>
    </rPh>
    <rPh sb="9" eb="11">
      <t>ヒヨウ</t>
    </rPh>
    <phoneticPr fontId="1"/>
  </si>
  <si>
    <t>④年間サポート費用</t>
    <rPh sb="1" eb="3">
      <t>ネンカン</t>
    </rPh>
    <rPh sb="7" eb="9">
      <t>ヒヨウ</t>
    </rPh>
    <phoneticPr fontId="1"/>
  </si>
  <si>
    <t>⑤バージョンアップ費用</t>
    <rPh sb="9" eb="11">
      <t>ヒヨウ</t>
    </rPh>
    <phoneticPr fontId="1"/>
  </si>
  <si>
    <t>⑥廃棄費用</t>
    <rPh sb="1" eb="3">
      <t>ハイキ</t>
    </rPh>
    <rPh sb="3" eb="5">
      <t>ヒヨウ</t>
    </rPh>
    <phoneticPr fontId="1"/>
  </si>
  <si>
    <t>①～③</t>
    <phoneticPr fontId="1"/>
  </si>
  <si>
    <t>④</t>
    <phoneticPr fontId="1"/>
  </si>
  <si>
    <t>⑤</t>
    <phoneticPr fontId="1"/>
  </si>
  <si>
    <t>⑥</t>
    <phoneticPr fontId="1"/>
  </si>
  <si>
    <t>1)割り引かない</t>
    <rPh sb="2" eb="3">
      <t>ワ</t>
    </rPh>
    <rPh sb="4" eb="5">
      <t>ビ</t>
    </rPh>
    <phoneticPr fontId="1"/>
  </si>
  <si>
    <t>2)割り引く</t>
    <rPh sb="2" eb="3">
      <t>ワ</t>
    </rPh>
    <rPh sb="4" eb="5">
      <t>ビ</t>
    </rPh>
    <phoneticPr fontId="1"/>
  </si>
  <si>
    <t>割引後費用</t>
    <rPh sb="0" eb="2">
      <t>ワリビキ</t>
    </rPh>
    <rPh sb="2" eb="3">
      <t>ゴ</t>
    </rPh>
    <rPh sb="3" eb="5">
      <t>ヒヨウ</t>
    </rPh>
    <phoneticPr fontId="1"/>
  </si>
  <si>
    <t>A社案</t>
    <rPh sb="1" eb="2">
      <t>シャ</t>
    </rPh>
    <rPh sb="2" eb="3">
      <t>アン</t>
    </rPh>
    <phoneticPr fontId="1"/>
  </si>
  <si>
    <t>B社案</t>
    <rPh sb="1" eb="2">
      <t>シャ</t>
    </rPh>
    <rPh sb="2" eb="3">
      <t>アン</t>
    </rPh>
    <phoneticPr fontId="1"/>
  </si>
  <si>
    <t>C社案</t>
    <rPh sb="1" eb="2">
      <t>シャ</t>
    </rPh>
    <rPh sb="2" eb="3">
      <t>アン</t>
    </rPh>
    <phoneticPr fontId="1"/>
  </si>
  <si>
    <t>←ここが最も有利</t>
    <rPh sb="4" eb="5">
      <t>モット</t>
    </rPh>
    <rPh sb="6" eb="8">
      <t>ユウリ</t>
    </rPh>
    <phoneticPr fontId="1"/>
  </si>
  <si>
    <t>・エクセルを使うとすぐ求まるが、この程度の計算なら電卓で素早く出来る様にしておきたい。</t>
    <rPh sb="6" eb="7">
      <t>ツカ</t>
    </rPh>
    <rPh sb="11" eb="12">
      <t>モト</t>
    </rPh>
    <rPh sb="18" eb="20">
      <t>テイド</t>
    </rPh>
    <rPh sb="21" eb="23">
      <t>ケイサン</t>
    </rPh>
    <rPh sb="25" eb="27">
      <t>デンタク</t>
    </rPh>
    <rPh sb="28" eb="30">
      <t>スバヤ</t>
    </rPh>
    <rPh sb="31" eb="33">
      <t>デキ</t>
    </rPh>
    <rPh sb="34" eb="35">
      <t>ヨウ</t>
    </rPh>
    <phoneticPr fontId="1"/>
  </si>
  <si>
    <t>・問2の通り、計算結果と特徴を述べられるようになることがポイント。</t>
    <rPh sb="1" eb="2">
      <t>トイ</t>
    </rPh>
    <rPh sb="4" eb="5">
      <t>トオ</t>
    </rPh>
    <rPh sb="7" eb="9">
      <t>ケイサン</t>
    </rPh>
    <rPh sb="9" eb="11">
      <t>ケッカ</t>
    </rPh>
    <rPh sb="12" eb="14">
      <t>トクチョウ</t>
    </rPh>
    <rPh sb="15" eb="16">
      <t>ノ</t>
    </rPh>
    <phoneticPr fontId="1"/>
  </si>
  <si>
    <t>・例題2．3の類題。発生した費用をただ4分類するだけなので、計算自体は難しくない。</t>
    <rPh sb="1" eb="3">
      <t>レイダイ</t>
    </rPh>
    <rPh sb="7" eb="8">
      <t>ルイ</t>
    </rPh>
    <rPh sb="8" eb="9">
      <t>ダイ</t>
    </rPh>
    <rPh sb="10" eb="12">
      <t>ハッセイ</t>
    </rPh>
    <rPh sb="14" eb="16">
      <t>ヒヨウ</t>
    </rPh>
    <rPh sb="20" eb="22">
      <t>ブンルイ</t>
    </rPh>
    <rPh sb="30" eb="32">
      <t>ケイサン</t>
    </rPh>
    <rPh sb="32" eb="34">
      <t>ジタイ</t>
    </rPh>
    <rPh sb="35" eb="36">
      <t>ムズカ</t>
    </rPh>
    <phoneticPr fontId="1"/>
  </si>
  <si>
    <t>品質保証教育費</t>
    <rPh sb="0" eb="2">
      <t>ヒンシツ</t>
    </rPh>
    <rPh sb="2" eb="4">
      <t>ホショウ</t>
    </rPh>
    <rPh sb="4" eb="7">
      <t>キョウイクヒ</t>
    </rPh>
    <phoneticPr fontId="1"/>
  </si>
  <si>
    <t>不良品手直費</t>
    <rPh sb="0" eb="1">
      <t>フ</t>
    </rPh>
    <rPh sb="1" eb="3">
      <t>リョウヒン</t>
    </rPh>
    <rPh sb="3" eb="5">
      <t>テナオ</t>
    </rPh>
    <rPh sb="5" eb="6">
      <t>ヒ</t>
    </rPh>
    <phoneticPr fontId="1"/>
  </si>
  <si>
    <t>受入材料検査費</t>
    <rPh sb="0" eb="2">
      <t>ウケイレ</t>
    </rPh>
    <rPh sb="2" eb="4">
      <t>ザイリョウ</t>
    </rPh>
    <rPh sb="4" eb="6">
      <t>ケンサ</t>
    </rPh>
    <rPh sb="6" eb="7">
      <t>ヒ</t>
    </rPh>
    <phoneticPr fontId="1"/>
  </si>
  <si>
    <t>他社製品品質調査費</t>
    <rPh sb="0" eb="2">
      <t>タシャ</t>
    </rPh>
    <rPh sb="2" eb="4">
      <t>セイヒン</t>
    </rPh>
    <rPh sb="4" eb="6">
      <t>ヒンシツ</t>
    </rPh>
    <rPh sb="6" eb="8">
      <t>チョウサ</t>
    </rPh>
    <rPh sb="8" eb="9">
      <t>ヒ</t>
    </rPh>
    <phoneticPr fontId="1"/>
  </si>
  <si>
    <t>仕損費</t>
    <rPh sb="0" eb="2">
      <t>シソンジ</t>
    </rPh>
    <rPh sb="2" eb="3">
      <t>ヒ</t>
    </rPh>
    <phoneticPr fontId="1"/>
  </si>
  <si>
    <t>製品設計改善費</t>
    <rPh sb="0" eb="2">
      <t>セイヒン</t>
    </rPh>
    <rPh sb="2" eb="4">
      <t>セッケイ</t>
    </rPh>
    <rPh sb="4" eb="7">
      <t>カイゼンヒ</t>
    </rPh>
    <phoneticPr fontId="1"/>
  </si>
  <si>
    <t>販売製品補修費</t>
    <rPh sb="0" eb="2">
      <t>ハンバイ</t>
    </rPh>
    <rPh sb="2" eb="4">
      <t>セイヒン</t>
    </rPh>
    <rPh sb="4" eb="6">
      <t>ホシュウ</t>
    </rPh>
    <rPh sb="6" eb="7">
      <t>ヒ</t>
    </rPh>
    <phoneticPr fontId="1"/>
  </si>
  <si>
    <t>工程完成品検査費</t>
    <rPh sb="0" eb="2">
      <t>コウテイ</t>
    </rPh>
    <rPh sb="2" eb="5">
      <t>カンセイヒン</t>
    </rPh>
    <rPh sb="5" eb="7">
      <t>ケンサ</t>
    </rPh>
    <rPh sb="7" eb="8">
      <t>ヒ</t>
    </rPh>
    <phoneticPr fontId="1"/>
  </si>
  <si>
    <t>返品廃棄処分費</t>
    <rPh sb="0" eb="2">
      <t>ヘンピン</t>
    </rPh>
    <rPh sb="2" eb="4">
      <t>ハイキ</t>
    </rPh>
    <rPh sb="4" eb="6">
      <t>ショブン</t>
    </rPh>
    <rPh sb="6" eb="7">
      <t>ヒ</t>
    </rPh>
    <phoneticPr fontId="1"/>
  </si>
  <si>
    <t>20X0年</t>
    <rPh sb="4" eb="5">
      <t>ネン</t>
    </rPh>
    <phoneticPr fontId="1"/>
  </si>
  <si>
    <t>20X2年</t>
    <rPh sb="4" eb="5">
      <t>ネン</t>
    </rPh>
    <phoneticPr fontId="1"/>
  </si>
  <si>
    <t>問1 品質原価報告書</t>
    <rPh sb="0" eb="1">
      <t>トイ</t>
    </rPh>
    <rPh sb="3" eb="5">
      <t>ヒンシツ</t>
    </rPh>
    <rPh sb="5" eb="7">
      <t>ゲンカ</t>
    </rPh>
    <rPh sb="7" eb="10">
      <t>ホウコクショ</t>
    </rPh>
    <phoneticPr fontId="1"/>
  </si>
  <si>
    <t>①予防原価</t>
    <rPh sb="1" eb="3">
      <t>ヨボウ</t>
    </rPh>
    <rPh sb="3" eb="5">
      <t>ゲンカ</t>
    </rPh>
    <phoneticPr fontId="1"/>
  </si>
  <si>
    <t>②評価原価</t>
    <rPh sb="1" eb="3">
      <t>ヒョウカ</t>
    </rPh>
    <rPh sb="3" eb="5">
      <t>ゲンカ</t>
    </rPh>
    <phoneticPr fontId="1"/>
  </si>
  <si>
    <t>③内部失敗原価</t>
    <rPh sb="1" eb="3">
      <t>ナイブ</t>
    </rPh>
    <rPh sb="3" eb="5">
      <t>シッパイ</t>
    </rPh>
    <rPh sb="5" eb="7">
      <t>ゲンカ</t>
    </rPh>
    <phoneticPr fontId="1"/>
  </si>
  <si>
    <t>④外部失敗原価</t>
    <rPh sb="1" eb="3">
      <t>ガイブ</t>
    </rPh>
    <rPh sb="3" eb="5">
      <t>シッパイ</t>
    </rPh>
    <rPh sb="5" eb="7">
      <t>ゲンカ</t>
    </rPh>
    <phoneticPr fontId="1"/>
  </si>
  <si>
    <r>
      <t xml:space="preserve">  品質</t>
    </r>
    <r>
      <rPr>
        <u/>
        <sz val="10"/>
        <color theme="1"/>
        <rFont val="游ゴシック"/>
        <family val="3"/>
        <charset val="128"/>
        <scheme val="minor"/>
      </rPr>
      <t>適合</t>
    </r>
    <r>
      <rPr>
        <sz val="10"/>
        <color theme="1"/>
        <rFont val="游ゴシック"/>
        <family val="3"/>
        <charset val="128"/>
        <scheme val="minor"/>
      </rPr>
      <t>原価計</t>
    </r>
    <rPh sb="2" eb="4">
      <t>ヒンシツ</t>
    </rPh>
    <rPh sb="4" eb="6">
      <t>テキゴウ</t>
    </rPh>
    <rPh sb="6" eb="8">
      <t>ゲンカ</t>
    </rPh>
    <rPh sb="8" eb="9">
      <t>ケイ</t>
    </rPh>
    <phoneticPr fontId="1"/>
  </si>
  <si>
    <r>
      <t xml:space="preserve">  品質</t>
    </r>
    <r>
      <rPr>
        <u/>
        <sz val="10"/>
        <color theme="1"/>
        <rFont val="游ゴシック"/>
        <family val="3"/>
        <charset val="128"/>
        <scheme val="minor"/>
      </rPr>
      <t>不適合</t>
    </r>
    <r>
      <rPr>
        <sz val="10"/>
        <color theme="1"/>
        <rFont val="游ゴシック"/>
        <family val="3"/>
        <charset val="128"/>
        <scheme val="minor"/>
      </rPr>
      <t>原価計</t>
    </r>
    <rPh sb="2" eb="4">
      <t>ヒンシツ</t>
    </rPh>
    <rPh sb="4" eb="7">
      <t>フテキゴウ</t>
    </rPh>
    <rPh sb="7" eb="9">
      <t>ゲンカ</t>
    </rPh>
    <rPh sb="9" eb="10">
      <t>ケイ</t>
    </rPh>
    <phoneticPr fontId="1"/>
  </si>
  <si>
    <t>4つの分類に紐付け、SUMIF関数で</t>
    <rPh sb="3" eb="5">
      <t>ブンルイ</t>
    </rPh>
    <rPh sb="6" eb="7">
      <t>ヒモ</t>
    </rPh>
    <rPh sb="7" eb="8">
      <t>ツ</t>
    </rPh>
    <rPh sb="15" eb="17">
      <t>カンスウ</t>
    </rPh>
    <phoneticPr fontId="1"/>
  </si>
  <si>
    <t xml:space="preserve">  計</t>
    <rPh sb="2" eb="3">
      <t>ケイ</t>
    </rPh>
    <phoneticPr fontId="1"/>
  </si>
  <si>
    <t>←各原価の内訳は省略</t>
    <rPh sb="1" eb="2">
      <t>カク</t>
    </rPh>
    <rPh sb="2" eb="4">
      <t>ゲンカ</t>
    </rPh>
    <rPh sb="5" eb="7">
      <t>ウチワケ</t>
    </rPh>
    <rPh sb="8" eb="10">
      <t>ショウリャク</t>
    </rPh>
    <phoneticPr fontId="1"/>
  </si>
  <si>
    <r>
      <t>株価V</t>
    </r>
    <r>
      <rPr>
        <sz val="8"/>
        <color theme="1"/>
        <rFont val="游ゴシック"/>
        <family val="3"/>
        <charset val="128"/>
        <scheme val="minor"/>
      </rPr>
      <t>E</t>
    </r>
    <r>
      <rPr>
        <sz val="10"/>
        <color theme="1"/>
        <rFont val="游ゴシック"/>
        <family val="3"/>
        <charset val="128"/>
        <scheme val="minor"/>
      </rPr>
      <t>＝</t>
    </r>
    <rPh sb="0" eb="2">
      <t>カブカ</t>
    </rPh>
    <phoneticPr fontId="1"/>
  </si>
  <si>
    <r>
      <t>配当D</t>
    </r>
    <r>
      <rPr>
        <sz val="6"/>
        <color theme="1"/>
        <rFont val="游ゴシック"/>
        <family val="3"/>
        <charset val="128"/>
        <scheme val="minor"/>
      </rPr>
      <t>1</t>
    </r>
    <rPh sb="0" eb="2">
      <t>ハイトウ</t>
    </rPh>
    <phoneticPr fontId="1"/>
  </si>
  <si>
    <r>
      <t>利回りr</t>
    </r>
    <r>
      <rPr>
        <sz val="6"/>
        <color theme="1"/>
        <rFont val="游ゴシック"/>
        <family val="3"/>
        <charset val="128"/>
        <scheme val="minor"/>
      </rPr>
      <t>E</t>
    </r>
    <r>
      <rPr>
        <sz val="10"/>
        <color theme="1"/>
        <rFont val="游ゴシック"/>
        <family val="3"/>
        <charset val="128"/>
        <scheme val="minor"/>
      </rPr>
      <t>－成長率g(%)</t>
    </r>
    <rPh sb="0" eb="2">
      <t>リマワ</t>
    </rPh>
    <rPh sb="6" eb="9">
      <t>セイチョウリツ</t>
    </rPh>
    <phoneticPr fontId="1"/>
  </si>
  <si>
    <r>
      <t>※2017/5/6 r</t>
    </r>
    <r>
      <rPr>
        <sz val="6"/>
        <color rgb="FFFF0000"/>
        <rFont val="游ゴシック"/>
        <family val="3"/>
        <charset val="128"/>
        <scheme val="minor"/>
      </rPr>
      <t>E</t>
    </r>
    <r>
      <rPr>
        <sz val="10"/>
        <color rgb="FFFF0000"/>
        <rFont val="游ゴシック"/>
        <family val="3"/>
        <charset val="128"/>
        <scheme val="minor"/>
      </rPr>
      <t>-gとすべき所を、r</t>
    </r>
    <r>
      <rPr>
        <sz val="6"/>
        <color rgb="FFFF0000"/>
        <rFont val="游ゴシック"/>
        <family val="3"/>
        <charset val="128"/>
        <scheme val="minor"/>
      </rPr>
      <t>E</t>
    </r>
    <r>
      <rPr>
        <sz val="10"/>
        <color rgb="FFFF0000"/>
        <rFont val="游ゴシック"/>
        <family val="3"/>
        <charset val="128"/>
        <scheme val="minor"/>
      </rPr>
      <t>+gと表記していたので、修正しました。</t>
    </r>
    <rPh sb="18" eb="19">
      <t>トコロ</t>
    </rPh>
    <rPh sb="26" eb="28">
      <t>ヒョウキ</t>
    </rPh>
    <rPh sb="35" eb="37">
      <t>シュウセイ</t>
    </rPh>
    <phoneticPr fontId="1"/>
  </si>
  <si>
    <t>Lecture 12 不確実性と情報</t>
    <rPh sb="11" eb="15">
      <t>フカクジツセイ</t>
    </rPh>
    <rPh sb="16" eb="18">
      <t>ジョウホウ</t>
    </rPh>
    <phoneticPr fontId="1"/>
  </si>
  <si>
    <t>・期待値計算と言われると、確率の問題？うへぇ・・となりがち。でも当試験における期待値計算はファイナンスに頻出で、一般に3通りまでの加重平均、多くても当問の様に4通り。</t>
    <rPh sb="1" eb="4">
      <t>キタイチ</t>
    </rPh>
    <rPh sb="4" eb="6">
      <t>ケイサン</t>
    </rPh>
    <rPh sb="7" eb="8">
      <t>イ</t>
    </rPh>
    <rPh sb="13" eb="15">
      <t>カクリツ</t>
    </rPh>
    <rPh sb="16" eb="18">
      <t>モンダイ</t>
    </rPh>
    <rPh sb="32" eb="33">
      <t>トウ</t>
    </rPh>
    <rPh sb="33" eb="35">
      <t>シケン</t>
    </rPh>
    <rPh sb="39" eb="42">
      <t>キタイチ</t>
    </rPh>
    <rPh sb="42" eb="44">
      <t>ケイサン</t>
    </rPh>
    <rPh sb="52" eb="54">
      <t>ヒンシュツ</t>
    </rPh>
    <rPh sb="56" eb="58">
      <t>イッパン</t>
    </rPh>
    <rPh sb="60" eb="61">
      <t>トオ</t>
    </rPh>
    <rPh sb="65" eb="67">
      <t>カジュウ</t>
    </rPh>
    <rPh sb="67" eb="69">
      <t>ヘイキン</t>
    </rPh>
    <rPh sb="70" eb="71">
      <t>オオ</t>
    </rPh>
    <rPh sb="74" eb="75">
      <t>トウ</t>
    </rPh>
    <rPh sb="75" eb="76">
      <t>モン</t>
    </rPh>
    <rPh sb="77" eb="78">
      <t>ヨウ</t>
    </rPh>
    <rPh sb="80" eb="81">
      <t>トオ</t>
    </rPh>
    <phoneticPr fontId="1"/>
  </si>
  <si>
    <t>・Lecture12で、期待値計算を得意化すると、当試験のあちこちで応用が利いて、便利。</t>
    <rPh sb="12" eb="15">
      <t>キタイチ</t>
    </rPh>
    <rPh sb="15" eb="17">
      <t>ケイサン</t>
    </rPh>
    <rPh sb="18" eb="20">
      <t>トクイ</t>
    </rPh>
    <rPh sb="20" eb="21">
      <t>カ</t>
    </rPh>
    <rPh sb="25" eb="26">
      <t>トウ</t>
    </rPh>
    <rPh sb="26" eb="28">
      <t>シケン</t>
    </rPh>
    <rPh sb="34" eb="36">
      <t>オウヨウ</t>
    </rPh>
    <rPh sb="37" eb="38">
      <t>キ</t>
    </rPh>
    <rPh sb="41" eb="43">
      <t>ベンリ</t>
    </rPh>
    <phoneticPr fontId="1"/>
  </si>
  <si>
    <t>需要量：セット</t>
    <rPh sb="0" eb="2">
      <t>ジュヨウ</t>
    </rPh>
    <rPh sb="2" eb="3">
      <t>リョウ</t>
    </rPh>
    <phoneticPr fontId="1"/>
  </si>
  <si>
    <t>確率</t>
    <rPh sb="0" eb="2">
      <t>カクリツ</t>
    </rPh>
    <phoneticPr fontId="1"/>
  </si>
  <si>
    <t>注文セット数 ※需要を上回って注文するとロスが出て利益が減る。</t>
    <rPh sb="0" eb="2">
      <t>チュウモン</t>
    </rPh>
    <rPh sb="5" eb="6">
      <t>スウ</t>
    </rPh>
    <rPh sb="8" eb="10">
      <t>ジュヨウ</t>
    </rPh>
    <rPh sb="11" eb="13">
      <t>ウワマワ</t>
    </rPh>
    <rPh sb="15" eb="17">
      <t>チュウモン</t>
    </rPh>
    <rPh sb="23" eb="24">
      <t>デ</t>
    </rPh>
    <rPh sb="25" eb="27">
      <t>リエキ</t>
    </rPh>
    <rPh sb="28" eb="29">
      <t>ヘ</t>
    </rPh>
    <phoneticPr fontId="1"/>
  </si>
  <si>
    <t>期待値</t>
    <rPh sb="0" eb="3">
      <t>キタイチ</t>
    </rPh>
    <phoneticPr fontId="1"/>
  </si>
  <si>
    <t>期待値＝200セット注文した場合、200～500の需要が発生した場合の加重平均</t>
    <rPh sb="0" eb="3">
      <t>キタイチ</t>
    </rPh>
    <rPh sb="10" eb="12">
      <t>チュウモン</t>
    </rPh>
    <rPh sb="14" eb="16">
      <t>バアイ</t>
    </rPh>
    <rPh sb="25" eb="27">
      <t>ジュヨウ</t>
    </rPh>
    <rPh sb="28" eb="30">
      <t>ハッセイ</t>
    </rPh>
    <rPh sb="32" eb="34">
      <t>バアイ</t>
    </rPh>
    <rPh sb="35" eb="37">
      <t>カジュウ</t>
    </rPh>
    <rPh sb="37" eb="39">
      <t>ヘイキン</t>
    </rPh>
    <phoneticPr fontId="1"/>
  </si>
  <si>
    <t>↑ここがベスト</t>
    <phoneticPr fontId="1"/>
  </si>
  <si>
    <t>問1 まず表を描き、期待値を求める。</t>
    <rPh sb="0" eb="1">
      <t>トイ</t>
    </rPh>
    <rPh sb="5" eb="6">
      <t>ヒョウ</t>
    </rPh>
    <rPh sb="7" eb="8">
      <t>カ</t>
    </rPh>
    <rPh sb="10" eb="13">
      <t>キタイチ</t>
    </rPh>
    <rPh sb="14" eb="15">
      <t>モト</t>
    </rPh>
    <phoneticPr fontId="1"/>
  </si>
  <si>
    <t xml:space="preserve">問2 </t>
    <rPh sb="0" eb="1">
      <t>トイ</t>
    </rPh>
    <phoneticPr fontId="1"/>
  </si>
  <si>
    <t>期待値計</t>
    <rPh sb="0" eb="3">
      <t>キタイチ</t>
    </rPh>
    <rPh sb="3" eb="4">
      <t>ケイ</t>
    </rPh>
    <phoneticPr fontId="1"/>
  </si>
  <si>
    <t>完全情報を入手できる場合の期待値</t>
    <rPh sb="0" eb="2">
      <t>カンゼン</t>
    </rPh>
    <rPh sb="2" eb="4">
      <t>ジョウホウ</t>
    </rPh>
    <rPh sb="5" eb="7">
      <t>ニュウシュ</t>
    </rPh>
    <rPh sb="10" eb="12">
      <t>バアイ</t>
    </rPh>
    <rPh sb="13" eb="16">
      <t>キタイチ</t>
    </rPh>
    <phoneticPr fontId="1"/>
  </si>
  <si>
    <t>完全情報とは、｢需要量の結果がわかる｣こと。その場合の期待値と、何も知らない場合の期待値の差額までは、その情報にカネを払う価値がある。</t>
    <rPh sb="0" eb="2">
      <t>カンゼン</t>
    </rPh>
    <rPh sb="2" eb="4">
      <t>ジョウホウ</t>
    </rPh>
    <rPh sb="8" eb="10">
      <t>ジュヨウ</t>
    </rPh>
    <rPh sb="10" eb="11">
      <t>リョウ</t>
    </rPh>
    <rPh sb="12" eb="14">
      <t>ケッカ</t>
    </rPh>
    <rPh sb="24" eb="26">
      <t>バアイ</t>
    </rPh>
    <rPh sb="27" eb="30">
      <t>キタイチ</t>
    </rPh>
    <rPh sb="32" eb="33">
      <t>ナニ</t>
    </rPh>
    <rPh sb="34" eb="35">
      <t>シ</t>
    </rPh>
    <rPh sb="38" eb="40">
      <t>バアイ</t>
    </rPh>
    <rPh sb="41" eb="44">
      <t>キタイチ</t>
    </rPh>
    <rPh sb="45" eb="47">
      <t>サガク</t>
    </rPh>
    <rPh sb="53" eb="55">
      <t>ジョウホウ</t>
    </rPh>
    <rPh sb="59" eb="60">
      <t>ハラ</t>
    </rPh>
    <rPh sb="61" eb="63">
      <t>カチ</t>
    </rPh>
    <phoneticPr fontId="1"/>
  </si>
  <si>
    <t>完全情報の期待価値(EVPI)</t>
    <rPh sb="0" eb="2">
      <t>カンゼン</t>
    </rPh>
    <rPh sb="2" eb="4">
      <t>ジョウホウ</t>
    </rPh>
    <rPh sb="5" eb="7">
      <t>キタイ</t>
    </rPh>
    <rPh sb="7" eb="9">
      <t>カチ</t>
    </rPh>
    <phoneticPr fontId="1"/>
  </si>
  <si>
    <t>万円</t>
    <rPh sb="0" eb="2">
      <t>マンエン</t>
    </rPh>
    <phoneticPr fontId="1"/>
  </si>
  <si>
    <t>例題1と表のタテヨコが入れ替わっているので、自分の好きな方で表を描く</t>
    <rPh sb="0" eb="2">
      <t>レイダイ</t>
    </rPh>
    <rPh sb="4" eb="5">
      <t>ヒョウ</t>
    </rPh>
    <rPh sb="11" eb="12">
      <t>イ</t>
    </rPh>
    <rPh sb="13" eb="14">
      <t>カ</t>
    </rPh>
    <rPh sb="22" eb="24">
      <t>ジブン</t>
    </rPh>
    <rPh sb="25" eb="26">
      <t>ス</t>
    </rPh>
    <rPh sb="28" eb="29">
      <t>ホウ</t>
    </rPh>
    <rPh sb="30" eb="31">
      <t>ヒョウ</t>
    </rPh>
    <rPh sb="32" eb="33">
      <t>カ</t>
    </rPh>
    <phoneticPr fontId="1"/>
  </si>
  <si>
    <t>需要</t>
    <rPh sb="0" eb="2">
      <t>ジュヨウ</t>
    </rPh>
    <phoneticPr fontId="1"/>
  </si>
  <si>
    <t>高</t>
    <rPh sb="0" eb="1">
      <t>コウ</t>
    </rPh>
    <phoneticPr fontId="1"/>
  </si>
  <si>
    <t>普通</t>
    <rPh sb="0" eb="2">
      <t>フツウ</t>
    </rPh>
    <phoneticPr fontId="1"/>
  </si>
  <si>
    <t>低</t>
    <rPh sb="0" eb="1">
      <t>テイ</t>
    </rPh>
    <phoneticPr fontId="1"/>
  </si>
  <si>
    <t>工場規模</t>
    <rPh sb="0" eb="2">
      <t>コウジョウ</t>
    </rPh>
    <rPh sb="2" eb="4">
      <t>キボ</t>
    </rPh>
    <phoneticPr fontId="1"/>
  </si>
  <si>
    <t>大工場</t>
    <rPh sb="0" eb="3">
      <t>ダイコウジョウ</t>
    </rPh>
    <phoneticPr fontId="1"/>
  </si>
  <si>
    <t>中工場</t>
    <rPh sb="0" eb="1">
      <t>チュウ</t>
    </rPh>
    <rPh sb="1" eb="3">
      <t>コウジョウ</t>
    </rPh>
    <phoneticPr fontId="1"/>
  </si>
  <si>
    <t>小工場</t>
    <rPh sb="0" eb="3">
      <t>ショウコウジョウ</t>
    </rPh>
    <phoneticPr fontId="1"/>
  </si>
  <si>
    <t>・不確実性、デシジョンツリー、リアルオプションの辺りは、試験委員の専門領域とされ、｢事例Ⅳ｣出題を予想する声が高い。また出題実績もある。</t>
    <rPh sb="1" eb="5">
      <t>フカクジツセイ</t>
    </rPh>
    <rPh sb="24" eb="25">
      <t>アタ</t>
    </rPh>
    <rPh sb="28" eb="30">
      <t>シケン</t>
    </rPh>
    <rPh sb="30" eb="32">
      <t>イイン</t>
    </rPh>
    <rPh sb="33" eb="35">
      <t>センモン</t>
    </rPh>
    <rPh sb="35" eb="37">
      <t>リョウイキ</t>
    </rPh>
    <rPh sb="42" eb="44">
      <t>ジレイ</t>
    </rPh>
    <rPh sb="46" eb="48">
      <t>シュツダイ</t>
    </rPh>
    <rPh sb="49" eb="51">
      <t>ヨソウ</t>
    </rPh>
    <rPh sb="53" eb="54">
      <t>コエ</t>
    </rPh>
    <rPh sb="55" eb="56">
      <t>タカ</t>
    </rPh>
    <rPh sb="60" eb="62">
      <t>シュツダイ</t>
    </rPh>
    <rPh sb="62" eb="64">
      <t>ジッセキ</t>
    </rPh>
    <phoneticPr fontId="1"/>
  </si>
  <si>
    <t>・しかし、今後実際どんな出題があるかは予想しづらく、受験校の指導に従うか、｢財務｣過去問5年の範囲内で学習しておくことがベストといえそう。</t>
    <rPh sb="5" eb="7">
      <t>コンゴ</t>
    </rPh>
    <rPh sb="7" eb="9">
      <t>ジッサイ</t>
    </rPh>
    <rPh sb="12" eb="14">
      <t>シュツダイ</t>
    </rPh>
    <rPh sb="19" eb="21">
      <t>ヨソウ</t>
    </rPh>
    <rPh sb="26" eb="29">
      <t>ジュケンコウ</t>
    </rPh>
    <rPh sb="30" eb="32">
      <t>シドウ</t>
    </rPh>
    <rPh sb="33" eb="34">
      <t>シタガ</t>
    </rPh>
    <rPh sb="38" eb="40">
      <t>ザイム</t>
    </rPh>
    <rPh sb="41" eb="44">
      <t>カコモン</t>
    </rPh>
    <rPh sb="45" eb="46">
      <t>ネン</t>
    </rPh>
    <rPh sb="47" eb="49">
      <t>ハンイ</t>
    </rPh>
    <rPh sb="49" eb="50">
      <t>ナイ</t>
    </rPh>
    <rPh sb="51" eb="53">
      <t>ガクシュウ</t>
    </rPh>
    <phoneticPr fontId="1"/>
  </si>
  <si>
    <t>↑期待値が最も高い、小工場を建設する。</t>
    <rPh sb="1" eb="4">
      <t>キタイチ</t>
    </rPh>
    <rPh sb="5" eb="6">
      <t>モット</t>
    </rPh>
    <rPh sb="7" eb="8">
      <t>タカ</t>
    </rPh>
    <rPh sb="10" eb="13">
      <t>ショウコウジョウ</t>
    </rPh>
    <rPh sb="14" eb="16">
      <t>ケンセツ</t>
    </rPh>
    <phoneticPr fontId="1"/>
  </si>
  <si>
    <t>つまりデシジョンツリーといっても、要は場合分けして期待値計算をすれば良い。</t>
    <rPh sb="17" eb="18">
      <t>ヨウ</t>
    </rPh>
    <rPh sb="19" eb="21">
      <t>バアイ</t>
    </rPh>
    <rPh sb="21" eb="22">
      <t>ワ</t>
    </rPh>
    <rPh sb="25" eb="28">
      <t>キタイチ</t>
    </rPh>
    <rPh sb="28" eb="30">
      <t>ケイサン</t>
    </rPh>
    <rPh sb="34" eb="35">
      <t>ヨ</t>
    </rPh>
    <phoneticPr fontId="1"/>
  </si>
  <si>
    <t>限界利益(正常売価)</t>
    <rPh sb="0" eb="2">
      <t>ゲンカイ</t>
    </rPh>
    <rPh sb="2" eb="4">
      <t>リエキ</t>
    </rPh>
    <rPh sb="5" eb="7">
      <t>セイジョウ</t>
    </rPh>
    <rPh sb="7" eb="9">
      <t>バイカ</t>
    </rPh>
    <phoneticPr fontId="1"/>
  </si>
  <si>
    <t>限界利益(半額売価)</t>
    <rPh sb="0" eb="2">
      <t>ゲンカイ</t>
    </rPh>
    <rPh sb="2" eb="4">
      <t>リエキ</t>
    </rPh>
    <rPh sb="5" eb="7">
      <t>ハンガク</t>
    </rPh>
    <rPh sb="7" eb="9">
      <t>バイカ</t>
    </rPh>
    <phoneticPr fontId="1"/>
  </si>
  <si>
    <t>利益額</t>
    <rPh sb="0" eb="2">
      <t>リエキ</t>
    </rPh>
    <rPh sb="2" eb="3">
      <t>ガク</t>
    </rPh>
    <phoneticPr fontId="1"/>
  </si>
  <si>
    <t>注文セット数 ※需要を上回って注文すると半額処分の損が出る。</t>
    <rPh sb="0" eb="2">
      <t>チュウモン</t>
    </rPh>
    <rPh sb="5" eb="6">
      <t>スウ</t>
    </rPh>
    <rPh sb="8" eb="10">
      <t>ジュヨウ</t>
    </rPh>
    <rPh sb="11" eb="13">
      <t>ウワマワ</t>
    </rPh>
    <rPh sb="15" eb="17">
      <t>チュウモン</t>
    </rPh>
    <rPh sb="20" eb="22">
      <t>ハンガク</t>
    </rPh>
    <rPh sb="22" eb="24">
      <t>ショブン</t>
    </rPh>
    <rPh sb="25" eb="26">
      <t>ソン</t>
    </rPh>
    <rPh sb="27" eb="28">
      <t>デ</t>
    </rPh>
    <phoneticPr fontId="1"/>
  </si>
  <si>
    <t>完全情報での期待値</t>
    <rPh sb="0" eb="2">
      <t>カンゼン</t>
    </rPh>
    <rPh sb="2" eb="4">
      <t>ジョウホウ</t>
    </rPh>
    <rPh sb="6" eb="9">
      <t>キタイチ</t>
    </rPh>
    <phoneticPr fontId="1"/>
  </si>
  <si>
    <t>・ただし、注文数×需要数の各ケースの利益額は、自分で計算する。</t>
    <rPh sb="5" eb="8">
      <t>チュウモンスウ</t>
    </rPh>
    <rPh sb="9" eb="12">
      <t>ジュヨウスウ</t>
    </rPh>
    <rPh sb="13" eb="14">
      <t>カク</t>
    </rPh>
    <rPh sb="18" eb="20">
      <t>リエキ</t>
    </rPh>
    <rPh sb="20" eb="21">
      <t>ガク</t>
    </rPh>
    <rPh sb="23" eb="25">
      <t>ジブン</t>
    </rPh>
    <rPh sb="26" eb="28">
      <t>ケイサン</t>
    </rPh>
    <phoneticPr fontId="1"/>
  </si>
  <si>
    <t>・例題1の計算ロジックをそのまま使う。半額セールによる損失予想とは、いかにもよくありそうな話。</t>
    <rPh sb="1" eb="3">
      <t>レイダイ</t>
    </rPh>
    <rPh sb="5" eb="7">
      <t>ケイサン</t>
    </rPh>
    <rPh sb="16" eb="17">
      <t>ツカ</t>
    </rPh>
    <rPh sb="19" eb="21">
      <t>ハンガク</t>
    </rPh>
    <rPh sb="27" eb="29">
      <t>ソンシツ</t>
    </rPh>
    <rPh sb="29" eb="31">
      <t>ヨソウ</t>
    </rPh>
    <rPh sb="45" eb="46">
      <t>ハナシ</t>
    </rPh>
    <phoneticPr fontId="1"/>
  </si>
  <si>
    <t>3限目 問題２</t>
    <rPh sb="1" eb="3">
      <t>ゲンメ</t>
    </rPh>
    <rPh sb="4" eb="6">
      <t>モンダイ</t>
    </rPh>
    <phoneticPr fontId="1"/>
  </si>
  <si>
    <t>・デシジョンツリーの計算問題。1⃣大工場建設の期待CFと、2⃣小工場拡張有無の期待CFの2つを作り、最終的に見比べる。</t>
    <rPh sb="10" eb="12">
      <t>ケイサン</t>
    </rPh>
    <rPh sb="12" eb="14">
      <t>モンダイ</t>
    </rPh>
    <rPh sb="17" eb="20">
      <t>ダイコウジョウ</t>
    </rPh>
    <rPh sb="20" eb="22">
      <t>ケンセツ</t>
    </rPh>
    <rPh sb="23" eb="25">
      <t>キタイ</t>
    </rPh>
    <rPh sb="31" eb="34">
      <t>ショウコウジョウ</t>
    </rPh>
    <rPh sb="34" eb="36">
      <t>カクチョウ</t>
    </rPh>
    <rPh sb="36" eb="38">
      <t>ウム</t>
    </rPh>
    <rPh sb="39" eb="41">
      <t>キタイ</t>
    </rPh>
    <rPh sb="47" eb="48">
      <t>ツク</t>
    </rPh>
    <rPh sb="50" eb="53">
      <t>サイシュウテキ</t>
    </rPh>
    <rPh sb="54" eb="56">
      <t>ミクラ</t>
    </rPh>
    <phoneticPr fontId="1"/>
  </si>
  <si>
    <t>1⃣大工場建設の期待CF</t>
    <rPh sb="2" eb="5">
      <t>ダイコウジョウ</t>
    </rPh>
    <rPh sb="5" eb="7">
      <t>ケンセツ</t>
    </rPh>
    <rPh sb="8" eb="10">
      <t>キタイ</t>
    </rPh>
    <phoneticPr fontId="1"/>
  </si>
  <si>
    <t>①最初2年H、その後もH</t>
    <rPh sb="1" eb="3">
      <t>サイショ</t>
    </rPh>
    <rPh sb="4" eb="5">
      <t>ネン</t>
    </rPh>
    <rPh sb="9" eb="10">
      <t>ゴ</t>
    </rPh>
    <phoneticPr fontId="1"/>
  </si>
  <si>
    <t>②最初2年H、その後はL</t>
    <rPh sb="1" eb="3">
      <t>サイショ</t>
    </rPh>
    <rPh sb="4" eb="5">
      <t>ネン</t>
    </rPh>
    <rPh sb="9" eb="10">
      <t>ゴ</t>
    </rPh>
    <phoneticPr fontId="1"/>
  </si>
  <si>
    <t>X最初2年L、その後はH</t>
    <rPh sb="1" eb="3">
      <t>サイショ</t>
    </rPh>
    <rPh sb="4" eb="5">
      <t>ネン</t>
    </rPh>
    <rPh sb="9" eb="10">
      <t>ゴ</t>
    </rPh>
    <phoneticPr fontId="1"/>
  </si>
  <si>
    <t>③最初2年L、その後もL</t>
    <rPh sb="1" eb="3">
      <t>サイショ</t>
    </rPh>
    <rPh sb="4" eb="5">
      <t>ネン</t>
    </rPh>
    <rPh sb="9" eb="10">
      <t>ゴ</t>
    </rPh>
    <phoneticPr fontId="1"/>
  </si>
  <si>
    <t>①</t>
    <phoneticPr fontId="1"/>
  </si>
  <si>
    <t>②</t>
    <phoneticPr fontId="1"/>
  </si>
  <si>
    <t>③</t>
    <phoneticPr fontId="1"/>
  </si>
  <si>
    <t>Y0</t>
    <phoneticPr fontId="1"/>
  </si>
  <si>
    <t>Y1</t>
    <phoneticPr fontId="1"/>
  </si>
  <si>
    <t>Y2</t>
    <phoneticPr fontId="1"/>
  </si>
  <si>
    <t>Y3～10</t>
    <phoneticPr fontId="1"/>
  </si>
  <si>
    <t>①</t>
    <phoneticPr fontId="1"/>
  </si>
  <si>
    <t>②</t>
    <phoneticPr fontId="1"/>
  </si>
  <si>
    <t>③</t>
    <phoneticPr fontId="1"/>
  </si>
  <si>
    <t>割引後NPV</t>
    <rPh sb="0" eb="2">
      <t>ワリビキ</t>
    </rPh>
    <rPh sb="2" eb="3">
      <t>ゴ</t>
    </rPh>
    <phoneticPr fontId="1"/>
  </si>
  <si>
    <t>期待値(加重平均)</t>
    <rPh sb="0" eb="3">
      <t>キタイチ</t>
    </rPh>
    <rPh sb="4" eb="6">
      <t>カジュウ</t>
    </rPh>
    <rPh sb="6" eb="8">
      <t>ヘイキン</t>
    </rPh>
    <phoneticPr fontId="1"/>
  </si>
  <si>
    <t>問1 拡張するか否かの意思決定</t>
    <rPh sb="0" eb="1">
      <t>トイ</t>
    </rPh>
    <rPh sb="3" eb="5">
      <t>カクチョウ</t>
    </rPh>
    <rPh sb="8" eb="9">
      <t>イナ</t>
    </rPh>
    <rPh sb="11" eb="13">
      <t>イシ</t>
    </rPh>
    <rPh sb="13" eb="15">
      <t>ケッテイ</t>
    </rPh>
    <phoneticPr fontId="1"/>
  </si>
  <si>
    <t>④拡張し、高需要</t>
    <rPh sb="1" eb="3">
      <t>カクチョウ</t>
    </rPh>
    <rPh sb="5" eb="8">
      <t>コウジュヨウ</t>
    </rPh>
    <phoneticPr fontId="1"/>
  </si>
  <si>
    <t>⑤拡張したが、低需要</t>
    <rPh sb="1" eb="3">
      <t>カクチョウ</t>
    </rPh>
    <rPh sb="7" eb="8">
      <t>テイ</t>
    </rPh>
    <rPh sb="8" eb="10">
      <t>ジュヨウ</t>
    </rPh>
    <phoneticPr fontId="1"/>
  </si>
  <si>
    <t>⑥拡張せず、高需要</t>
    <rPh sb="1" eb="3">
      <t>カクチョウ</t>
    </rPh>
    <rPh sb="6" eb="9">
      <t>コウジュヨウ</t>
    </rPh>
    <phoneticPr fontId="1"/>
  </si>
  <si>
    <t>⑦拡張せず、低需要</t>
    <rPh sb="1" eb="3">
      <t>カクチョウ</t>
    </rPh>
    <rPh sb="6" eb="7">
      <t>テイ</t>
    </rPh>
    <rPh sb="7" eb="9">
      <t>ジュヨウ</t>
    </rPh>
    <phoneticPr fontId="1"/>
  </si>
  <si>
    <t>デシジョンツリーから所与</t>
    <rPh sb="10" eb="12">
      <t>ショヨ</t>
    </rPh>
    <phoneticPr fontId="1"/>
  </si>
  <si>
    <t>④</t>
    <phoneticPr fontId="1"/>
  </si>
  <si>
    <t>⑦</t>
    <phoneticPr fontId="1"/>
  </si>
  <si>
    <t>⑥</t>
    <phoneticPr fontId="1"/>
  </si>
  <si>
    <t>⑦</t>
    <phoneticPr fontId="1"/>
  </si>
  <si>
    <t>拡張する</t>
    <rPh sb="0" eb="2">
      <t>カクチョウ</t>
    </rPh>
    <phoneticPr fontId="1"/>
  </si>
  <si>
    <t>拡張しない</t>
    <rPh sb="0" eb="2">
      <t>カクチョウ</t>
    </rPh>
    <phoneticPr fontId="1"/>
  </si>
  <si>
    <t>Y2期首時点で</t>
    <rPh sb="2" eb="4">
      <t>キシュ</t>
    </rPh>
    <rPh sb="4" eb="6">
      <t>ジテン</t>
    </rPh>
    <phoneticPr fontId="1"/>
  </si>
  <si>
    <t>←こちらの期待値が高いので、拡張する。</t>
    <rPh sb="5" eb="8">
      <t>キタイチ</t>
    </rPh>
    <rPh sb="9" eb="10">
      <t>タカ</t>
    </rPh>
    <rPh sb="14" eb="16">
      <t>カクチョウ</t>
    </rPh>
    <phoneticPr fontId="1"/>
  </si>
  <si>
    <t>1⃣で小工場建設時の期待CF</t>
    <rPh sb="3" eb="6">
      <t>ショウコウジョウ</t>
    </rPh>
    <rPh sb="6" eb="8">
      <t>ケンセツ</t>
    </rPh>
    <rPh sb="8" eb="9">
      <t>ジ</t>
    </rPh>
    <rPh sb="10" eb="12">
      <t>キタイ</t>
    </rPh>
    <phoneticPr fontId="1"/>
  </si>
  <si>
    <t>④or⑤</t>
    <phoneticPr fontId="1"/>
  </si>
  <si>
    <t>⑧</t>
    <phoneticPr fontId="1"/>
  </si>
  <si>
    <t>1⃣で大工場建設時の期待CF</t>
    <rPh sb="3" eb="4">
      <t>ダイ</t>
    </rPh>
    <rPh sb="4" eb="6">
      <t>コウジョウ</t>
    </rPh>
    <rPh sb="6" eb="8">
      <t>ケンセツ</t>
    </rPh>
    <rPh sb="8" eb="9">
      <t>ジ</t>
    </rPh>
    <rPh sb="10" eb="12">
      <t>キタイ</t>
    </rPh>
    <phoneticPr fontId="1"/>
  </si>
  <si>
    <t>←セルC45 と比較し、こちらの方が大きいので、最初から大工場を建設。セオリーと違うので、数字をしっかり確かめる。</t>
    <rPh sb="8" eb="10">
      <t>ヒカク</t>
    </rPh>
    <rPh sb="16" eb="17">
      <t>ホウ</t>
    </rPh>
    <rPh sb="18" eb="19">
      <t>オオ</t>
    </rPh>
    <rPh sb="24" eb="26">
      <t>サイショ</t>
    </rPh>
    <rPh sb="28" eb="31">
      <t>ダイコウジョウ</t>
    </rPh>
    <rPh sb="32" eb="34">
      <t>ケンセツ</t>
    </rPh>
    <rPh sb="40" eb="41">
      <t>チガ</t>
    </rPh>
    <rPh sb="45" eb="47">
      <t>スウジ</t>
    </rPh>
    <rPh sb="52" eb="53">
      <t>タシ</t>
    </rPh>
    <phoneticPr fontId="1"/>
  </si>
  <si>
    <t>・テクニックとして、延期して拡張する(リアル・オプション)の方が期待CFが大きいはず、と当たりを付けて解くのがセオリー(ただし当問の結論は逆)。計算が煩雑なので、ある程度解き慣れる必要がある。</t>
    <rPh sb="10" eb="12">
      <t>エンキ</t>
    </rPh>
    <rPh sb="14" eb="16">
      <t>カクチョウ</t>
    </rPh>
    <rPh sb="30" eb="31">
      <t>ホウ</t>
    </rPh>
    <rPh sb="32" eb="34">
      <t>キタイ</t>
    </rPh>
    <rPh sb="37" eb="38">
      <t>オオ</t>
    </rPh>
    <rPh sb="44" eb="45">
      <t>ア</t>
    </rPh>
    <rPh sb="48" eb="49">
      <t>ツ</t>
    </rPh>
    <rPh sb="51" eb="52">
      <t>ト</t>
    </rPh>
    <rPh sb="63" eb="64">
      <t>トウ</t>
    </rPh>
    <rPh sb="64" eb="65">
      <t>モン</t>
    </rPh>
    <rPh sb="66" eb="68">
      <t>ケツロン</t>
    </rPh>
    <rPh sb="69" eb="70">
      <t>ギャク</t>
    </rPh>
    <rPh sb="72" eb="74">
      <t>ケイサン</t>
    </rPh>
    <rPh sb="75" eb="77">
      <t>ハンザツ</t>
    </rPh>
    <rPh sb="83" eb="85">
      <t>テイド</t>
    </rPh>
    <rPh sb="85" eb="86">
      <t>ト</t>
    </rPh>
    <rPh sb="87" eb="88">
      <t>ナ</t>
    </rPh>
    <rPh sb="90" eb="92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</si>
</sst>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0;[Red]\-#,##0.0000"/>
    <numFmt numFmtId="177" formatCode="#,##0.0;[Red]\-#,##0.0"/>
    <numFmt numFmtId="178" formatCode="0.0%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3F3F3F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0"/>
      <color rgb="FF3F3F3F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0" tint="-0.34998626667073579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theme="0" tint="-0.499984740745262"/>
      <name val="游ゴシック"/>
      <family val="3"/>
      <charset val="128"/>
      <scheme val="minor"/>
    </font>
    <font>
      <sz val="10"/>
      <color theme="0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sz val="10"/>
      <color rgb="FF0000FF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  <scheme val="minor"/>
    </font>
    <font>
      <sz val="10"/>
      <color rgb="FF3F3F3F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/>
      <top/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auto="1"/>
      </diagonal>
    </border>
    <border diagonalDown="1">
      <left style="hair">
        <color auto="1"/>
      </left>
      <right/>
      <top style="hair">
        <color auto="1"/>
      </top>
      <bottom/>
      <diagonal style="thin">
        <color auto="1"/>
      </diagonal>
    </border>
    <border diagonalDown="1">
      <left/>
      <right/>
      <top style="hair">
        <color auto="1"/>
      </top>
      <bottom/>
      <diagonal style="thin">
        <color auto="1"/>
      </diagonal>
    </border>
    <border diagonalDown="1">
      <left/>
      <right style="hair">
        <color auto="1"/>
      </right>
      <top style="hair">
        <color auto="1"/>
      </top>
      <bottom/>
      <diagonal style="thin">
        <color auto="1"/>
      </diagonal>
    </border>
    <border diagonalDown="1">
      <left style="hair">
        <color auto="1"/>
      </left>
      <right/>
      <top/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hair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/>
      <top/>
      <bottom style="hair">
        <color auto="1"/>
      </bottom>
      <diagonal style="thin">
        <color auto="1"/>
      </diagonal>
    </border>
    <border diagonalDown="1">
      <left/>
      <right style="hair">
        <color auto="1"/>
      </right>
      <top/>
      <bottom style="hair">
        <color auto="1"/>
      </bottom>
      <diagonal style="thin">
        <color auto="1"/>
      </diagonal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2" borderId="1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2" borderId="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2" borderId="20" xfId="2" applyNumberFormat="1" applyFont="1" applyBorder="1">
      <alignment vertical="center"/>
    </xf>
    <xf numFmtId="38" fontId="6" fillId="2" borderId="19" xfId="2" applyNumberFormat="1" applyFont="1" applyBorder="1">
      <alignment vertical="center"/>
    </xf>
    <xf numFmtId="38" fontId="6" fillId="2" borderId="18" xfId="2" applyNumberFormat="1" applyFont="1" applyBorder="1">
      <alignment vertical="center"/>
    </xf>
    <xf numFmtId="38" fontId="7" fillId="0" borderId="0" xfId="1" applyFont="1">
      <alignment vertical="center"/>
    </xf>
    <xf numFmtId="38" fontId="6" fillId="2" borderId="17" xfId="2" applyNumberFormat="1" applyFont="1" applyBorder="1">
      <alignment vertical="center"/>
    </xf>
    <xf numFmtId="38" fontId="6" fillId="2" borderId="0" xfId="2" applyNumberFormat="1" applyFont="1" applyBorder="1">
      <alignment vertical="center"/>
    </xf>
    <xf numFmtId="38" fontId="6" fillId="2" borderId="16" xfId="2" applyNumberFormat="1" applyFont="1" applyBorder="1">
      <alignment vertical="center"/>
    </xf>
    <xf numFmtId="38" fontId="6" fillId="2" borderId="15" xfId="2" applyNumberFormat="1" applyFont="1" applyBorder="1">
      <alignment vertical="center"/>
    </xf>
    <xf numFmtId="38" fontId="6" fillId="2" borderId="14" xfId="2" applyNumberFormat="1" applyFont="1" applyBorder="1">
      <alignment vertical="center"/>
    </xf>
    <xf numFmtId="38" fontId="6" fillId="2" borderId="13" xfId="2" applyNumberFormat="1" applyFont="1" applyBorder="1">
      <alignment vertical="center"/>
    </xf>
    <xf numFmtId="38" fontId="7" fillId="0" borderId="11" xfId="1" applyFont="1" applyBorder="1">
      <alignment vertical="center"/>
    </xf>
    <xf numFmtId="38" fontId="7" fillId="5" borderId="21" xfId="1" applyFont="1" applyFill="1" applyBorder="1">
      <alignment vertical="center"/>
    </xf>
    <xf numFmtId="38" fontId="4" fillId="2" borderId="0" xfId="4" applyNumberFormat="1" applyBorder="1">
      <alignment vertical="center"/>
    </xf>
    <xf numFmtId="38" fontId="6" fillId="0" borderId="0" xfId="2" applyNumberFormat="1" applyFont="1" applyFill="1" applyBorder="1">
      <alignment vertical="center"/>
    </xf>
    <xf numFmtId="38" fontId="7" fillId="0" borderId="0" xfId="1" applyFont="1" applyFill="1">
      <alignment vertical="center"/>
    </xf>
    <xf numFmtId="38" fontId="7" fillId="5" borderId="12" xfId="1" applyFont="1" applyFill="1" applyBorder="1">
      <alignment vertical="center"/>
    </xf>
    <xf numFmtId="38" fontId="7" fillId="0" borderId="6" xfId="1" applyFont="1" applyBorder="1">
      <alignment vertical="center"/>
    </xf>
    <xf numFmtId="38" fontId="4" fillId="2" borderId="9" xfId="4" applyNumberFormat="1" applyBorder="1">
      <alignment vertical="center"/>
    </xf>
    <xf numFmtId="38" fontId="4" fillId="2" borderId="24" xfId="4" applyNumberFormat="1" applyBorder="1">
      <alignment vertical="center"/>
    </xf>
    <xf numFmtId="38" fontId="4" fillId="2" borderId="8" xfId="4" applyNumberFormat="1" applyBorder="1">
      <alignment vertical="center"/>
    </xf>
    <xf numFmtId="38" fontId="4" fillId="2" borderId="5" xfId="4" applyNumberFormat="1" applyBorder="1">
      <alignment vertical="center"/>
    </xf>
    <xf numFmtId="38" fontId="4" fillId="2" borderId="4" xfId="4" applyNumberFormat="1" applyBorder="1">
      <alignment vertical="center"/>
    </xf>
    <xf numFmtId="38" fontId="4" fillId="2" borderId="3" xfId="4" applyNumberFormat="1" applyBorder="1">
      <alignment vertical="center"/>
    </xf>
    <xf numFmtId="38" fontId="4" fillId="2" borderId="11" xfId="4" applyNumberFormat="1" applyBorder="1">
      <alignment vertical="center"/>
    </xf>
    <xf numFmtId="38" fontId="4" fillId="2" borderId="2" xfId="4" applyNumberFormat="1" applyBorder="1">
      <alignment vertical="center"/>
    </xf>
    <xf numFmtId="38" fontId="7" fillId="3" borderId="0" xfId="1" applyFont="1" applyFill="1">
      <alignment vertical="center"/>
    </xf>
    <xf numFmtId="38" fontId="7" fillId="6" borderId="0" xfId="1" applyFont="1" applyFill="1">
      <alignment vertical="center"/>
    </xf>
    <xf numFmtId="38" fontId="8" fillId="0" borderId="0" xfId="5" applyNumberFormat="1">
      <alignment vertical="center"/>
    </xf>
    <xf numFmtId="176" fontId="7" fillId="0" borderId="0" xfId="1" applyNumberFormat="1" applyFont="1">
      <alignment vertical="center"/>
    </xf>
    <xf numFmtId="38" fontId="7" fillId="4" borderId="0" xfId="1" applyFont="1" applyFill="1">
      <alignment vertical="center"/>
    </xf>
    <xf numFmtId="38" fontId="7" fillId="6" borderId="34" xfId="1" applyFont="1" applyFill="1" applyBorder="1">
      <alignment vertical="center"/>
    </xf>
    <xf numFmtId="38" fontId="7" fillId="6" borderId="35" xfId="1" applyFont="1" applyFill="1" applyBorder="1">
      <alignment vertical="center"/>
    </xf>
    <xf numFmtId="38" fontId="7" fillId="6" borderId="36" xfId="1" applyFont="1" applyFill="1" applyBorder="1">
      <alignment vertical="center"/>
    </xf>
    <xf numFmtId="38" fontId="7" fillId="0" borderId="0" xfId="1" applyFont="1" applyAlignment="1">
      <alignment horizontal="left" vertical="center"/>
    </xf>
    <xf numFmtId="10" fontId="7" fillId="5" borderId="22" xfId="3" applyNumberFormat="1" applyFont="1" applyFill="1" applyBorder="1">
      <alignment vertical="center"/>
    </xf>
    <xf numFmtId="10" fontId="7" fillId="5" borderId="23" xfId="3" applyNumberFormat="1" applyFont="1" applyFill="1" applyBorder="1">
      <alignment vertical="center"/>
    </xf>
    <xf numFmtId="40" fontId="7" fillId="5" borderId="22" xfId="1" applyNumberFormat="1" applyFont="1" applyFill="1" applyBorder="1">
      <alignment vertical="center"/>
    </xf>
    <xf numFmtId="40" fontId="7" fillId="5" borderId="23" xfId="1" applyNumberFormat="1" applyFont="1" applyFill="1" applyBorder="1">
      <alignment vertical="center"/>
    </xf>
    <xf numFmtId="38" fontId="7" fillId="0" borderId="7" xfId="1" applyFont="1" applyBorder="1">
      <alignment vertical="center"/>
    </xf>
    <xf numFmtId="176" fontId="7" fillId="6" borderId="0" xfId="1" applyNumberFormat="1" applyFont="1" applyFill="1">
      <alignment vertical="center"/>
    </xf>
    <xf numFmtId="38" fontId="9" fillId="0" borderId="0" xfId="1" applyFont="1">
      <alignment vertical="center"/>
    </xf>
    <xf numFmtId="38" fontId="11" fillId="0" borderId="0" xfId="1" applyFont="1">
      <alignment vertical="center"/>
    </xf>
    <xf numFmtId="177" fontId="7" fillId="5" borderId="22" xfId="6" applyNumberFormat="1" applyFont="1" applyFill="1" applyBorder="1">
      <alignment vertical="center"/>
    </xf>
    <xf numFmtId="40" fontId="7" fillId="5" borderId="22" xfId="6" applyNumberFormat="1" applyFont="1" applyFill="1" applyBorder="1">
      <alignment vertical="center"/>
    </xf>
    <xf numFmtId="177" fontId="7" fillId="5" borderId="23" xfId="6" applyNumberFormat="1" applyFont="1" applyFill="1" applyBorder="1">
      <alignment vertical="center"/>
    </xf>
    <xf numFmtId="40" fontId="7" fillId="5" borderId="23" xfId="6" applyNumberFormat="1" applyFont="1" applyFill="1" applyBorder="1">
      <alignment vertical="center"/>
    </xf>
    <xf numFmtId="177" fontId="7" fillId="5" borderId="12" xfId="1" applyNumberFormat="1" applyFont="1" applyFill="1" applyBorder="1">
      <alignment vertical="center"/>
    </xf>
    <xf numFmtId="38" fontId="7" fillId="0" borderId="11" xfId="1" applyFont="1" applyFill="1" applyBorder="1">
      <alignment vertical="center"/>
    </xf>
    <xf numFmtId="38" fontId="7" fillId="0" borderId="6" xfId="1" applyFont="1" applyFill="1" applyBorder="1">
      <alignment vertical="center"/>
    </xf>
    <xf numFmtId="38" fontId="7" fillId="0" borderId="7" xfId="1" applyFont="1" applyFill="1" applyBorder="1">
      <alignment vertical="center"/>
    </xf>
    <xf numFmtId="38" fontId="7" fillId="0" borderId="9" xfId="1" applyFont="1" applyBorder="1">
      <alignment vertical="center"/>
    </xf>
    <xf numFmtId="38" fontId="7" fillId="0" borderId="24" xfId="1" applyFont="1" applyFill="1" applyBorder="1">
      <alignment vertical="center"/>
    </xf>
    <xf numFmtId="38" fontId="7" fillId="0" borderId="8" xfId="1" applyFont="1" applyFill="1" applyBorder="1">
      <alignment vertical="center"/>
    </xf>
    <xf numFmtId="38" fontId="7" fillId="0" borderId="5" xfId="1" applyFont="1" applyFill="1" applyBorder="1">
      <alignment vertical="center"/>
    </xf>
    <xf numFmtId="38" fontId="7" fillId="0" borderId="0" xfId="1" applyFont="1" applyFill="1" applyBorder="1">
      <alignment vertical="center"/>
    </xf>
    <xf numFmtId="38" fontId="7" fillId="0" borderId="4" xfId="1" applyFont="1" applyBorder="1">
      <alignment vertical="center"/>
    </xf>
    <xf numFmtId="38" fontId="7" fillId="0" borderId="3" xfId="1" applyFont="1" applyFill="1" applyBorder="1">
      <alignment vertical="center"/>
    </xf>
    <xf numFmtId="38" fontId="7" fillId="0" borderId="2" xfId="1" applyFont="1" applyBorder="1">
      <alignment vertical="center"/>
    </xf>
    <xf numFmtId="38" fontId="7" fillId="3" borderId="9" xfId="1" applyFont="1" applyFill="1" applyBorder="1">
      <alignment vertical="center"/>
    </xf>
    <xf numFmtId="38" fontId="7" fillId="3" borderId="8" xfId="1" applyFont="1" applyFill="1" applyBorder="1">
      <alignment vertical="center"/>
    </xf>
    <xf numFmtId="38" fontId="7" fillId="3" borderId="3" xfId="1" applyFont="1" applyFill="1" applyBorder="1">
      <alignment vertical="center"/>
    </xf>
    <xf numFmtId="38" fontId="7" fillId="3" borderId="2" xfId="1" applyFont="1" applyFill="1" applyBorder="1">
      <alignment vertical="center"/>
    </xf>
    <xf numFmtId="38" fontId="7" fillId="3" borderId="0" xfId="1" applyFont="1" applyFill="1" applyBorder="1">
      <alignment vertical="center"/>
    </xf>
    <xf numFmtId="38" fontId="7" fillId="3" borderId="11" xfId="1" applyFont="1" applyFill="1" applyBorder="1">
      <alignment vertical="center"/>
    </xf>
    <xf numFmtId="38" fontId="7" fillId="5" borderId="21" xfId="6" applyFont="1" applyFill="1" applyBorder="1">
      <alignment vertical="center"/>
    </xf>
    <xf numFmtId="38" fontId="12" fillId="7" borderId="0" xfId="7" applyNumberFormat="1">
      <alignment vertical="center"/>
    </xf>
    <xf numFmtId="38" fontId="7" fillId="0" borderId="11" xfId="6" applyFont="1" applyFill="1" applyBorder="1">
      <alignment vertical="center"/>
    </xf>
    <xf numFmtId="38" fontId="7" fillId="0" borderId="0" xfId="6" applyFont="1" applyFill="1">
      <alignment vertical="center"/>
    </xf>
    <xf numFmtId="38" fontId="7" fillId="0" borderId="0" xfId="1" applyFont="1" applyBorder="1">
      <alignment vertical="center"/>
    </xf>
    <xf numFmtId="38" fontId="7" fillId="6" borderId="0" xfId="1" applyFont="1" applyFill="1" applyBorder="1">
      <alignment vertical="center"/>
    </xf>
    <xf numFmtId="38" fontId="7" fillId="6" borderId="21" xfId="1" applyFont="1" applyFill="1" applyBorder="1">
      <alignment vertical="center"/>
    </xf>
    <xf numFmtId="38" fontId="7" fillId="0" borderId="9" xfId="1" applyFont="1" applyFill="1" applyBorder="1">
      <alignment vertical="center"/>
    </xf>
    <xf numFmtId="38" fontId="7" fillId="0" borderId="8" xfId="1" applyFont="1" applyBorder="1">
      <alignment vertical="center"/>
    </xf>
    <xf numFmtId="38" fontId="7" fillId="0" borderId="10" xfId="1" applyFont="1" applyFill="1" applyBorder="1">
      <alignment vertical="center"/>
    </xf>
    <xf numFmtId="38" fontId="7" fillId="0" borderId="10" xfId="1" applyFont="1" applyBorder="1">
      <alignment vertical="center"/>
    </xf>
    <xf numFmtId="38" fontId="7" fillId="3" borderId="21" xfId="1" applyFont="1" applyFill="1" applyBorder="1">
      <alignment vertical="center"/>
    </xf>
    <xf numFmtId="38" fontId="7" fillId="0" borderId="12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4" xfId="1" applyFont="1" applyFill="1" applyBorder="1">
      <alignment vertical="center"/>
    </xf>
    <xf numFmtId="38" fontId="7" fillId="3" borderId="5" xfId="1" applyFont="1" applyFill="1" applyBorder="1">
      <alignment vertical="center"/>
    </xf>
    <xf numFmtId="38" fontId="7" fillId="3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3" fillId="3" borderId="2" xfId="1" applyFont="1" applyFill="1" applyBorder="1">
      <alignment vertical="center"/>
    </xf>
    <xf numFmtId="38" fontId="3" fillId="0" borderId="4" xfId="1" applyFont="1" applyBorder="1">
      <alignment vertical="center"/>
    </xf>
    <xf numFmtId="38" fontId="3" fillId="3" borderId="11" xfId="1" applyFont="1" applyFill="1" applyBorder="1">
      <alignment vertical="center"/>
    </xf>
    <xf numFmtId="38" fontId="3" fillId="3" borderId="0" xfId="1" applyFont="1" applyFill="1">
      <alignment vertical="center"/>
    </xf>
    <xf numFmtId="178" fontId="7" fillId="5" borderId="21" xfId="3" applyNumberFormat="1" applyFont="1" applyFill="1" applyBorder="1">
      <alignment vertical="center"/>
    </xf>
    <xf numFmtId="38" fontId="7" fillId="8" borderId="0" xfId="1" applyFont="1" applyFill="1">
      <alignment vertical="center"/>
    </xf>
    <xf numFmtId="38" fontId="7" fillId="8" borderId="11" xfId="1" applyFont="1" applyFill="1" applyBorder="1">
      <alignment vertical="center"/>
    </xf>
    <xf numFmtId="38" fontId="7" fillId="8" borderId="12" xfId="1" applyFont="1" applyFill="1" applyBorder="1">
      <alignment vertical="center"/>
    </xf>
    <xf numFmtId="38" fontId="4" fillId="2" borderId="20" xfId="2" applyNumberFormat="1" applyBorder="1">
      <alignment vertical="center"/>
    </xf>
    <xf numFmtId="38" fontId="4" fillId="2" borderId="19" xfId="2" applyNumberFormat="1" applyBorder="1">
      <alignment vertical="center"/>
    </xf>
    <xf numFmtId="38" fontId="4" fillId="2" borderId="18" xfId="2" applyNumberFormat="1" applyBorder="1">
      <alignment vertical="center"/>
    </xf>
    <xf numFmtId="38" fontId="4" fillId="2" borderId="15" xfId="2" applyNumberFormat="1" applyBorder="1">
      <alignment vertical="center"/>
    </xf>
    <xf numFmtId="38" fontId="4" fillId="2" borderId="14" xfId="2" applyNumberFormat="1" applyBorder="1">
      <alignment vertical="center"/>
    </xf>
    <xf numFmtId="38" fontId="4" fillId="2" borderId="13" xfId="2" applyNumberFormat="1" applyBorder="1">
      <alignment vertical="center"/>
    </xf>
    <xf numFmtId="38" fontId="7" fillId="5" borderId="0" xfId="1" applyFont="1" applyFill="1">
      <alignment vertical="center"/>
    </xf>
    <xf numFmtId="38" fontId="3" fillId="5" borderId="21" xfId="1" applyFont="1" applyFill="1" applyBorder="1">
      <alignment vertical="center"/>
    </xf>
    <xf numFmtId="38" fontId="7" fillId="9" borderId="0" xfId="1" applyFont="1" applyFill="1">
      <alignment vertical="center"/>
    </xf>
    <xf numFmtId="38" fontId="3" fillId="9" borderId="0" xfId="1" applyFont="1" applyFill="1">
      <alignment vertical="center"/>
    </xf>
    <xf numFmtId="176" fontId="7" fillId="0" borderId="0" xfId="6" applyNumberFormat="1" applyFont="1">
      <alignment vertical="center"/>
    </xf>
    <xf numFmtId="38" fontId="7" fillId="0" borderId="24" xfId="1" applyFont="1" applyBorder="1">
      <alignment vertical="center"/>
    </xf>
    <xf numFmtId="9" fontId="7" fillId="0" borderId="0" xfId="3" applyFont="1">
      <alignment vertical="center"/>
    </xf>
    <xf numFmtId="38" fontId="7" fillId="0" borderId="0" xfId="1" applyFont="1" applyAlignment="1">
      <alignment horizontal="right" vertical="center"/>
    </xf>
    <xf numFmtId="177" fontId="7" fillId="5" borderId="21" xfId="1" applyNumberFormat="1" applyFont="1" applyFill="1" applyBorder="1">
      <alignment vertical="center"/>
    </xf>
    <xf numFmtId="10" fontId="7" fillId="0" borderId="0" xfId="3" applyNumberFormat="1" applyFont="1">
      <alignment vertical="center"/>
    </xf>
    <xf numFmtId="38" fontId="7" fillId="0" borderId="3" xfId="1" applyFont="1" applyBorder="1">
      <alignment vertical="center"/>
    </xf>
    <xf numFmtId="178" fontId="7" fillId="0" borderId="0" xfId="3" applyNumberFormat="1" applyFont="1">
      <alignment vertical="center"/>
    </xf>
    <xf numFmtId="38" fontId="7" fillId="5" borderId="40" xfId="1" applyFont="1" applyFill="1" applyBorder="1">
      <alignment vertical="center"/>
    </xf>
    <xf numFmtId="38" fontId="7" fillId="5" borderId="41" xfId="1" applyFont="1" applyFill="1" applyBorder="1">
      <alignment vertical="center"/>
    </xf>
    <xf numFmtId="38" fontId="7" fillId="5" borderId="42" xfId="1" applyFont="1" applyFill="1" applyBorder="1">
      <alignment vertical="center"/>
    </xf>
    <xf numFmtId="10" fontId="7" fillId="5" borderId="21" xfId="3" applyNumberFormat="1" applyFont="1" applyFill="1" applyBorder="1">
      <alignment vertical="center"/>
    </xf>
    <xf numFmtId="178" fontId="7" fillId="5" borderId="22" xfId="3" applyNumberFormat="1" applyFont="1" applyFill="1" applyBorder="1">
      <alignment vertical="center"/>
    </xf>
    <xf numFmtId="38" fontId="14" fillId="0" borderId="0" xfId="1" applyFont="1">
      <alignment vertical="center"/>
    </xf>
    <xf numFmtId="9" fontId="7" fillId="0" borderId="6" xfId="3" applyFont="1" applyBorder="1">
      <alignment vertical="center"/>
    </xf>
    <xf numFmtId="10" fontId="7" fillId="5" borderId="41" xfId="3" applyNumberFormat="1" applyFont="1" applyFill="1" applyBorder="1">
      <alignment vertical="center"/>
    </xf>
    <xf numFmtId="38" fontId="15" fillId="0" borderId="5" xfId="1" applyFont="1" applyFill="1" applyBorder="1">
      <alignment vertical="center"/>
    </xf>
    <xf numFmtId="38" fontId="15" fillId="3" borderId="2" xfId="1" applyFont="1" applyFill="1" applyBorder="1">
      <alignment vertical="center"/>
    </xf>
    <xf numFmtId="38" fontId="15" fillId="0" borderId="3" xfId="1" applyFont="1" applyFill="1" applyBorder="1">
      <alignment vertical="center"/>
    </xf>
    <xf numFmtId="38" fontId="7" fillId="3" borderId="24" xfId="1" applyFont="1" applyFill="1" applyBorder="1">
      <alignment vertical="center"/>
    </xf>
    <xf numFmtId="38" fontId="15" fillId="3" borderId="0" xfId="1" applyFont="1" applyFill="1" applyBorder="1">
      <alignment vertical="center"/>
    </xf>
    <xf numFmtId="38" fontId="7" fillId="0" borderId="43" xfId="1" applyFont="1" applyFill="1" applyBorder="1">
      <alignment vertical="center"/>
    </xf>
    <xf numFmtId="38" fontId="7" fillId="0" borderId="44" xfId="1" applyFont="1" applyFill="1" applyBorder="1">
      <alignment vertical="center"/>
    </xf>
    <xf numFmtId="38" fontId="7" fillId="0" borderId="45" xfId="1" applyFont="1" applyFill="1" applyBorder="1">
      <alignment vertical="center"/>
    </xf>
    <xf numFmtId="38" fontId="7" fillId="0" borderId="46" xfId="1" applyFont="1" applyFill="1" applyBorder="1">
      <alignment vertical="center"/>
    </xf>
    <xf numFmtId="38" fontId="7" fillId="0" borderId="47" xfId="1" applyFont="1" applyFill="1" applyBorder="1">
      <alignment vertical="center"/>
    </xf>
    <xf numFmtId="38" fontId="7" fillId="0" borderId="48" xfId="1" applyFont="1" applyFill="1" applyBorder="1">
      <alignment vertical="center"/>
    </xf>
    <xf numFmtId="38" fontId="7" fillId="0" borderId="49" xfId="1" applyFont="1" applyFill="1" applyBorder="1">
      <alignment vertical="center"/>
    </xf>
    <xf numFmtId="38" fontId="7" fillId="0" borderId="50" xfId="1" applyFont="1" applyFill="1" applyBorder="1">
      <alignment vertical="center"/>
    </xf>
    <xf numFmtId="178" fontId="7" fillId="3" borderId="0" xfId="3" applyNumberFormat="1" applyFont="1" applyFill="1">
      <alignment vertical="center"/>
    </xf>
    <xf numFmtId="40" fontId="7" fillId="0" borderId="0" xfId="1" applyNumberFormat="1" applyFont="1">
      <alignment vertical="center"/>
    </xf>
    <xf numFmtId="38" fontId="7" fillId="0" borderId="0" xfId="6" applyFont="1">
      <alignment vertical="center"/>
    </xf>
    <xf numFmtId="10" fontId="7" fillId="0" borderId="0" xfId="1" applyNumberFormat="1" applyFont="1">
      <alignment vertical="center"/>
    </xf>
    <xf numFmtId="176" fontId="7" fillId="0" borderId="0" xfId="6" applyNumberFormat="1" applyFont="1" applyFill="1">
      <alignment vertical="center"/>
    </xf>
    <xf numFmtId="38" fontId="7" fillId="0" borderId="38" xfId="1" applyFont="1" applyBorder="1">
      <alignment vertical="center"/>
    </xf>
    <xf numFmtId="38" fontId="4" fillId="0" borderId="0" xfId="4" applyNumberFormat="1" applyFill="1" applyBorder="1">
      <alignment vertical="center"/>
    </xf>
    <xf numFmtId="177" fontId="7" fillId="0" borderId="0" xfId="6" applyNumberFormat="1" applyFont="1">
      <alignment vertical="center"/>
    </xf>
    <xf numFmtId="38" fontId="7" fillId="6" borderId="12" xfId="1" applyFont="1" applyFill="1" applyBorder="1">
      <alignment vertical="center"/>
    </xf>
    <xf numFmtId="177" fontId="7" fillId="0" borderId="0" xfId="1" applyNumberFormat="1" applyFont="1">
      <alignment vertical="center"/>
    </xf>
    <xf numFmtId="177" fontId="7" fillId="6" borderId="12" xfId="1" applyNumberFormat="1" applyFont="1" applyFill="1" applyBorder="1">
      <alignment vertical="center"/>
    </xf>
    <xf numFmtId="177" fontId="20" fillId="0" borderId="0" xfId="4" applyNumberFormat="1" applyFont="1" applyFill="1" applyBorder="1">
      <alignment vertical="center"/>
    </xf>
    <xf numFmtId="38" fontId="7" fillId="0" borderId="26" xfId="1" applyFont="1" applyBorder="1" applyAlignment="1">
      <alignment horizontal="center" vertical="center"/>
    </xf>
    <xf numFmtId="38" fontId="7" fillId="0" borderId="27" xfId="1" applyFont="1" applyBorder="1" applyAlignment="1">
      <alignment horizontal="center" vertical="center"/>
    </xf>
    <xf numFmtId="38" fontId="7" fillId="0" borderId="28" xfId="1" applyFont="1" applyBorder="1" applyAlignment="1">
      <alignment horizontal="center" vertical="center"/>
    </xf>
    <xf numFmtId="38" fontId="7" fillId="0" borderId="29" xfId="1" applyFont="1" applyBorder="1" applyAlignment="1">
      <alignment horizontal="center" vertical="center"/>
    </xf>
    <xf numFmtId="38" fontId="7" fillId="0" borderId="25" xfId="1" applyFont="1" applyBorder="1" applyAlignment="1">
      <alignment horizontal="center" vertical="center"/>
    </xf>
    <xf numFmtId="38" fontId="7" fillId="0" borderId="30" xfId="1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7" fillId="0" borderId="32" xfId="1" applyFont="1" applyBorder="1" applyAlignment="1">
      <alignment horizontal="center" vertical="center"/>
    </xf>
    <xf numFmtId="38" fontId="7" fillId="0" borderId="33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 wrapText="1"/>
    </xf>
    <xf numFmtId="38" fontId="7" fillId="0" borderId="7" xfId="1" applyFont="1" applyBorder="1" applyAlignment="1">
      <alignment horizontal="center" vertical="center" wrapText="1"/>
    </xf>
    <xf numFmtId="38" fontId="7" fillId="0" borderId="6" xfId="1" applyFont="1" applyBorder="1" applyAlignment="1">
      <alignment horizontal="center" vertical="center" wrapText="1"/>
    </xf>
    <xf numFmtId="176" fontId="7" fillId="0" borderId="37" xfId="1" applyNumberFormat="1" applyFont="1" applyFill="1" applyBorder="1" applyAlignment="1">
      <alignment horizontal="center" vertical="center"/>
    </xf>
    <xf numFmtId="176" fontId="7" fillId="0" borderId="38" xfId="1" applyNumberFormat="1" applyFont="1" applyFill="1" applyBorder="1" applyAlignment="1">
      <alignment horizontal="center" vertical="center"/>
    </xf>
    <xf numFmtId="176" fontId="7" fillId="0" borderId="39" xfId="1" applyNumberFormat="1" applyFont="1" applyFill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176" fontId="7" fillId="0" borderId="37" xfId="1" applyNumberFormat="1" applyFont="1" applyBorder="1" applyAlignment="1">
      <alignment horizontal="center" vertical="center"/>
    </xf>
    <xf numFmtId="176" fontId="7" fillId="0" borderId="38" xfId="1" applyNumberFormat="1" applyFont="1" applyBorder="1" applyAlignment="1">
      <alignment horizontal="center" vertical="center"/>
    </xf>
    <xf numFmtId="176" fontId="7" fillId="0" borderId="39" xfId="1" applyNumberFormat="1" applyFont="1" applyBorder="1" applyAlignment="1">
      <alignment horizontal="center" vertical="center"/>
    </xf>
    <xf numFmtId="38" fontId="7" fillId="3" borderId="10" xfId="6" applyFont="1" applyFill="1" applyBorder="1" applyAlignment="1">
      <alignment horizontal="right" vertical="center"/>
    </xf>
    <xf numFmtId="38" fontId="7" fillId="3" borderId="6" xfId="6" applyFont="1" applyFill="1" applyBorder="1" applyAlignment="1">
      <alignment horizontal="right" vertical="center"/>
    </xf>
  </cellXfs>
  <cellStyles count="8">
    <cellStyle name="アクセント 1" xfId="7" builtinId="29"/>
    <cellStyle name="パーセント" xfId="3" builtinId="5"/>
    <cellStyle name="ハイパーリンク" xfId="5" builtinId="8"/>
    <cellStyle name="桁区切り" xfId="6" builtinId="6"/>
    <cellStyle name="桁区切り 2" xfId="1" xr:uid="{00000000-0005-0000-0000-000004000000}"/>
    <cellStyle name="出力" xfId="4" builtinId="21"/>
    <cellStyle name="出力 2" xfId="2" xr:uid="{00000000-0005-0000-0000-000006000000}"/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142875</xdr:rowOff>
    </xdr:from>
    <xdr:to>
      <xdr:col>13</xdr:col>
      <xdr:colOff>9525</xdr:colOff>
      <xdr:row>15</xdr:row>
      <xdr:rowOff>142875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762625" y="1666875"/>
          <a:ext cx="4048125" cy="762000"/>
        </a:xfrm>
        <a:prstGeom prst="rtTriangle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13</xdr:col>
      <xdr:colOff>9525</xdr:colOff>
      <xdr:row>15</xdr:row>
      <xdr:rowOff>133350</xdr:rowOff>
    </xdr:to>
    <xdr:sp macro="" textlink="">
      <xdr:nvSpPr>
        <xdr:cNvPr id="3" name="直角三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flipH="1" flipV="1">
          <a:off x="5762625" y="1657350"/>
          <a:ext cx="4048125" cy="762000"/>
        </a:xfrm>
        <a:prstGeom prst="rtTriangle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638175</xdr:colOff>
      <xdr:row>13</xdr:row>
      <xdr:rowOff>57150</xdr:rowOff>
    </xdr:from>
    <xdr:to>
      <xdr:col>13</xdr:col>
      <xdr:colOff>276225</xdr:colOff>
      <xdr:row>13</xdr:row>
      <xdr:rowOff>66675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5600700" y="2038350"/>
          <a:ext cx="4476750" cy="95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238125</xdr:colOff>
      <xdr:row>43</xdr:row>
      <xdr:rowOff>104775</xdr:rowOff>
    </xdr:from>
    <xdr:to>
      <xdr:col>12</xdr:col>
      <xdr:colOff>676275</xdr:colOff>
      <xdr:row>62</xdr:row>
      <xdr:rowOff>47625</xdr:rowOff>
    </xdr:to>
    <xdr:pic>
      <xdr:nvPicPr>
        <xdr:cNvPr id="6" name="図 5" descr="http://rmc-oden.com/blog/wp-content/uploads/NPV-298x300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6543675"/>
          <a:ext cx="2838450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cloud-boki.jp/blog/npvirr/" TargetMode="External"/><Relationship Id="rId1" Type="http://schemas.openxmlformats.org/officeDocument/2006/relationships/hyperlink" Target="http://fuxin24.net/2016/08/11/post-679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cloud-boki.jp/blog/npvirr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0"/>
  <sheetViews>
    <sheetView tabSelected="1" workbookViewId="0">
      <selection activeCell="D11" sqref="D11"/>
    </sheetView>
  </sheetViews>
  <sheetFormatPr defaultColWidth="10.5" defaultRowHeight="16.5"/>
  <cols>
    <col min="1" max="1" width="10.625" style="5" customWidth="1"/>
    <col min="2" max="2" width="11.5" style="5" customWidth="1"/>
    <col min="3" max="3" width="10.5" style="5"/>
    <col min="4" max="4" width="11.5" style="5" customWidth="1"/>
    <col min="5" max="7" width="10.5" style="5"/>
    <col min="8" max="8" width="11" style="5" customWidth="1"/>
    <col min="9" max="16384" width="10.5" style="5"/>
  </cols>
  <sheetData>
    <row r="1" spans="1:2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>
      <c r="A2" s="6" t="s">
        <v>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</row>
    <row r="4" spans="1:20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20">
      <c r="A6" s="22" t="s">
        <v>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3"/>
    </row>
    <row r="7" spans="1:20">
      <c r="A7" s="24" t="s">
        <v>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9" spans="1:20">
      <c r="A9" s="5" t="s">
        <v>8</v>
      </c>
    </row>
    <row r="10" spans="1:20">
      <c r="A10" s="5" t="s">
        <v>9</v>
      </c>
    </row>
    <row r="12" spans="1:20">
      <c r="A12" s="5" t="s">
        <v>10</v>
      </c>
      <c r="B12" s="5">
        <v>3000000</v>
      </c>
      <c r="C12" s="5" t="s">
        <v>4</v>
      </c>
    </row>
    <row r="14" spans="1:20">
      <c r="A14" s="5" t="s">
        <v>11</v>
      </c>
      <c r="B14" s="30">
        <v>4.3295000000000003</v>
      </c>
      <c r="C14" s="5" t="s">
        <v>13</v>
      </c>
    </row>
    <row r="15" spans="1:20" ht="17.25" thickBot="1"/>
    <row r="16" spans="1:20" ht="17.25" thickBot="1">
      <c r="A16" s="5" t="s">
        <v>12</v>
      </c>
      <c r="B16" s="13">
        <f>+B12/B14</f>
        <v>692920.66058436304</v>
      </c>
      <c r="C16" s="5" t="s">
        <v>4</v>
      </c>
    </row>
    <row r="18" spans="3:3">
      <c r="C18" s="5" t="s">
        <v>14</v>
      </c>
    </row>
    <row r="19" spans="3:3">
      <c r="C19" s="5" t="s">
        <v>15</v>
      </c>
    </row>
    <row r="20" spans="3:3">
      <c r="C20" s="5" t="s">
        <v>16</v>
      </c>
    </row>
  </sheetData>
  <phoneticPr fontId="1"/>
  <pageMargins left="0.25" right="0.25" top="0.75" bottom="0.75" header="0.3" footer="0.3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4"/>
  <sheetViews>
    <sheetView topLeftCell="A16" workbookViewId="0"/>
  </sheetViews>
  <sheetFormatPr defaultColWidth="10.5" defaultRowHeight="16.5"/>
  <cols>
    <col min="1" max="1" width="10.625" style="5" customWidth="1"/>
    <col min="2" max="2" width="11.5" style="5" customWidth="1"/>
    <col min="3" max="3" width="11.125" style="5" customWidth="1"/>
    <col min="4" max="4" width="11.5" style="5" customWidth="1"/>
    <col min="5" max="7" width="10.5" style="5"/>
    <col min="8" max="8" width="10.375" style="5" customWidth="1"/>
    <col min="9" max="16384" width="10.5" style="5"/>
  </cols>
  <sheetData>
    <row r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>
      <c r="A2" s="6" t="s">
        <v>81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4">
      <c r="A3" s="9" t="s">
        <v>292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4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4" ht="18" customHeight="1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4">
      <c r="A6" s="22" t="s">
        <v>296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3"/>
    </row>
    <row r="7" spans="1:14">
      <c r="A7" s="24" t="s">
        <v>297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10" spans="1:14">
      <c r="C10" s="5" t="s">
        <v>247</v>
      </c>
      <c r="D10" s="5" t="s">
        <v>210</v>
      </c>
      <c r="E10" s="5" t="s">
        <v>21</v>
      </c>
    </row>
    <row r="11" spans="1:14">
      <c r="A11" s="5" t="s">
        <v>293</v>
      </c>
      <c r="C11" s="5">
        <v>3000000</v>
      </c>
      <c r="D11" s="5">
        <f>+C11-C22</f>
        <v>2080000</v>
      </c>
      <c r="E11" s="5">
        <f>+D11-D22</f>
        <v>1104800</v>
      </c>
      <c r="F11" s="98">
        <f>+E11-E22</f>
        <v>71088</v>
      </c>
    </row>
    <row r="12" spans="1:14">
      <c r="B12" s="5" t="s">
        <v>294</v>
      </c>
      <c r="C12" s="5">
        <f>+C11/2</f>
        <v>1500000</v>
      </c>
      <c r="D12" s="5">
        <f>+D11/2</f>
        <v>1040000</v>
      </c>
      <c r="E12" s="5">
        <f>+E11/2</f>
        <v>552400</v>
      </c>
    </row>
    <row r="13" spans="1:14">
      <c r="B13" s="5" t="s">
        <v>295</v>
      </c>
      <c r="C13" s="5">
        <f>+C11-C12</f>
        <v>1500000</v>
      </c>
      <c r="D13" s="5">
        <f>+D11-D12</f>
        <v>1040000</v>
      </c>
      <c r="E13" s="5">
        <f>+E11-E12</f>
        <v>552400</v>
      </c>
    </row>
    <row r="15" spans="1:14">
      <c r="A15" s="5" t="s">
        <v>298</v>
      </c>
    </row>
    <row r="17" spans="2:7">
      <c r="B17" s="5" t="s">
        <v>299</v>
      </c>
      <c r="C17" s="5">
        <v>1200000</v>
      </c>
      <c r="D17" s="5">
        <v>1200000</v>
      </c>
      <c r="E17" s="5">
        <v>1200000</v>
      </c>
    </row>
    <row r="18" spans="2:7">
      <c r="B18" s="5" t="s">
        <v>76</v>
      </c>
      <c r="C18" s="5">
        <f>+C11/3</f>
        <v>1000000</v>
      </c>
      <c r="D18" s="5">
        <f>+C18</f>
        <v>1000000</v>
      </c>
      <c r="E18" s="5">
        <f>+D18</f>
        <v>1000000</v>
      </c>
    </row>
    <row r="19" spans="2:7">
      <c r="B19" s="5" t="s">
        <v>300</v>
      </c>
      <c r="C19" s="5">
        <f>-C12*0.04</f>
        <v>-60000</v>
      </c>
      <c r="D19" s="5">
        <f>-D12*0.04</f>
        <v>-41600</v>
      </c>
      <c r="E19" s="5">
        <f>-E12*0.04</f>
        <v>-22096</v>
      </c>
    </row>
    <row r="20" spans="2:7">
      <c r="B20" s="5" t="s">
        <v>301</v>
      </c>
      <c r="C20" s="5">
        <f>-C13*0.1</f>
        <v>-150000</v>
      </c>
      <c r="D20" s="5">
        <f>-D13*0.1</f>
        <v>-104000</v>
      </c>
      <c r="E20" s="5">
        <f>-E13*0.1</f>
        <v>-55240</v>
      </c>
    </row>
    <row r="21" spans="2:7">
      <c r="B21" s="5" t="s">
        <v>302</v>
      </c>
      <c r="C21" s="5">
        <f>-SUM(C17-C18+C19)*0.5</f>
        <v>-70000</v>
      </c>
      <c r="D21" s="5">
        <f>-SUM(D17-D18+D19)*0.5</f>
        <v>-79200</v>
      </c>
      <c r="E21" s="5">
        <f>-SUM(E17-E18+E19)*0.5</f>
        <v>-88952</v>
      </c>
    </row>
    <row r="22" spans="2:7">
      <c r="B22" s="5" t="s">
        <v>303</v>
      </c>
      <c r="C22" s="5">
        <f>+SUM(C17,C19:C21)</f>
        <v>920000</v>
      </c>
      <c r="D22" s="5">
        <f>+SUM(D17,D19:D21)</f>
        <v>975200</v>
      </c>
      <c r="E22" s="5">
        <f>+SUM(E17,E19:E21)</f>
        <v>1033712</v>
      </c>
      <c r="F22" s="98">
        <f>+SUM(C22:E22)</f>
        <v>2928912</v>
      </c>
      <c r="G22" s="5" t="s">
        <v>304</v>
      </c>
    </row>
    <row r="23" spans="2:7" ht="17.25" thickBot="1">
      <c r="F23" s="78">
        <f>+SUM(F22,F11)</f>
        <v>3000000</v>
      </c>
    </row>
    <row r="24" spans="2:7" ht="17.25" thickTop="1"/>
  </sheetData>
  <phoneticPr fontId="1"/>
  <pageMargins left="0.25" right="0.25" top="0.75" bottom="0.75" header="0.3" footer="0.3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30"/>
  <sheetViews>
    <sheetView topLeftCell="A4" workbookViewId="0"/>
  </sheetViews>
  <sheetFormatPr defaultColWidth="10.5" defaultRowHeight="16.5"/>
  <cols>
    <col min="1" max="1" width="10.625" style="5" customWidth="1"/>
    <col min="2" max="2" width="11.5" style="5" customWidth="1"/>
    <col min="3" max="3" width="11.125" style="5" customWidth="1"/>
    <col min="4" max="4" width="11.5" style="5" customWidth="1"/>
    <col min="5" max="7" width="10.5" style="5"/>
    <col min="8" max="8" width="10.375" style="5" customWidth="1"/>
    <col min="9" max="16384" width="10.5" style="5"/>
  </cols>
  <sheetData>
    <row r="1" spans="1:1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7">
      <c r="A2" s="6" t="s">
        <v>336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7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7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7" ht="18" customHeight="1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7">
      <c r="A6" s="22" t="s">
        <v>318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3"/>
    </row>
    <row r="7" spans="1:17">
      <c r="A7" s="24" t="s">
        <v>319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1:17">
      <c r="P8" s="5" t="s">
        <v>273</v>
      </c>
      <c r="Q8" s="5" t="s">
        <v>307</v>
      </c>
    </row>
    <row r="9" spans="1:17">
      <c r="A9" s="5" t="s">
        <v>311</v>
      </c>
      <c r="J9" s="67" t="s">
        <v>100</v>
      </c>
      <c r="K9" s="67"/>
      <c r="L9" s="67"/>
      <c r="M9" s="67"/>
      <c r="O9" s="5" t="s">
        <v>237</v>
      </c>
      <c r="P9" s="5">
        <v>10000</v>
      </c>
    </row>
    <row r="10" spans="1:17">
      <c r="J10" s="16" t="s">
        <v>87</v>
      </c>
      <c r="K10" s="16"/>
      <c r="L10" s="16"/>
      <c r="O10" s="5" t="s">
        <v>224</v>
      </c>
      <c r="P10" s="5">
        <v>2000</v>
      </c>
    </row>
    <row r="11" spans="1:17">
      <c r="J11" s="16" t="s">
        <v>86</v>
      </c>
      <c r="L11" s="16" t="s">
        <v>85</v>
      </c>
      <c r="O11" s="5" t="s">
        <v>305</v>
      </c>
      <c r="P11" s="5">
        <v>800</v>
      </c>
    </row>
    <row r="12" spans="1:17">
      <c r="B12" s="16" t="s">
        <v>52</v>
      </c>
      <c r="C12" s="63">
        <v>-30000000</v>
      </c>
      <c r="D12" s="50"/>
      <c r="E12" s="50"/>
      <c r="F12" s="18"/>
      <c r="G12" s="18"/>
      <c r="H12" s="18">
        <f>+P14*0.1</f>
        <v>3000000</v>
      </c>
      <c r="J12" s="52" t="s">
        <v>89</v>
      </c>
      <c r="K12" s="53">
        <f>+P9*P11+Q12</f>
        <v>12000000</v>
      </c>
      <c r="L12" s="52" t="s">
        <v>88</v>
      </c>
      <c r="M12" s="54">
        <f>+P9*P10</f>
        <v>20000000</v>
      </c>
      <c r="O12" s="5" t="s">
        <v>306</v>
      </c>
      <c r="Q12" s="5">
        <v>4000000</v>
      </c>
    </row>
    <row r="13" spans="1:17">
      <c r="B13" s="16" t="s">
        <v>50</v>
      </c>
      <c r="C13" s="54"/>
      <c r="D13" s="75">
        <f>+$K$20</f>
        <v>6960000</v>
      </c>
      <c r="E13" s="75">
        <f t="shared" ref="E13:G13" si="0">+$K$20</f>
        <v>6960000</v>
      </c>
      <c r="F13" s="75">
        <f t="shared" si="0"/>
        <v>6960000</v>
      </c>
      <c r="G13" s="75">
        <f t="shared" si="0"/>
        <v>6960000</v>
      </c>
      <c r="H13" s="75">
        <f>+$K$20</f>
        <v>6960000</v>
      </c>
      <c r="J13" s="55"/>
      <c r="K13" s="56"/>
      <c r="L13" s="55"/>
      <c r="M13" s="57"/>
    </row>
    <row r="14" spans="1:17">
      <c r="B14" s="16" t="s">
        <v>54</v>
      </c>
      <c r="C14" s="16"/>
      <c r="D14" s="16"/>
      <c r="E14" s="16"/>
      <c r="H14" s="5" t="str">
        <f>+L12</f>
        <v>収益</v>
      </c>
      <c r="J14" s="60" t="s">
        <v>76</v>
      </c>
      <c r="K14" s="61">
        <f>+P15</f>
        <v>5400000</v>
      </c>
      <c r="L14" s="55"/>
      <c r="M14" s="57"/>
      <c r="O14" s="5" t="s">
        <v>308</v>
      </c>
      <c r="P14" s="5">
        <v>30000000</v>
      </c>
    </row>
    <row r="15" spans="1:17">
      <c r="B15" s="16" t="s">
        <v>51</v>
      </c>
      <c r="C15" s="16"/>
      <c r="D15" s="155">
        <v>4.2123999999999997</v>
      </c>
      <c r="E15" s="156"/>
      <c r="F15" s="156"/>
      <c r="G15" s="156"/>
      <c r="H15" s="157"/>
      <c r="J15" s="62"/>
      <c r="K15" s="63"/>
      <c r="L15" s="55"/>
      <c r="M15" s="57"/>
      <c r="O15" s="5" t="s">
        <v>309</v>
      </c>
      <c r="P15" s="5">
        <f>+P14*0.9/5</f>
        <v>5400000</v>
      </c>
    </row>
    <row r="16" spans="1:17" ht="17.25" thickBot="1">
      <c r="B16" s="16" t="s">
        <v>53</v>
      </c>
      <c r="C16" s="16">
        <f>+D13*D15+H12*H16</f>
        <v>31560203.999999996</v>
      </c>
      <c r="D16" s="16"/>
      <c r="E16" s="16"/>
      <c r="H16" s="30">
        <v>0.74729999999999996</v>
      </c>
      <c r="J16" s="55" t="s">
        <v>90</v>
      </c>
      <c r="K16" s="56">
        <f>+M12-K12-K14</f>
        <v>2600000</v>
      </c>
      <c r="L16" s="55"/>
      <c r="M16" s="57"/>
    </row>
    <row r="17" spans="1:16" ht="17.25" thickBot="1">
      <c r="B17" s="5" t="s">
        <v>310</v>
      </c>
      <c r="C17" s="13">
        <f>+SUM(C12:C16)</f>
        <v>1560203.9999999963</v>
      </c>
      <c r="J17" s="55" t="s">
        <v>91</v>
      </c>
      <c r="K17" s="64" t="s">
        <v>92</v>
      </c>
      <c r="L17" s="55"/>
      <c r="M17" s="57"/>
    </row>
    <row r="18" spans="1:16">
      <c r="J18" s="58">
        <f>+K16*0.4</f>
        <v>1040000</v>
      </c>
      <c r="K18" s="65">
        <f>+K16-J18</f>
        <v>1560000</v>
      </c>
      <c r="L18" s="58"/>
      <c r="M18" s="59"/>
    </row>
    <row r="19" spans="1:16">
      <c r="A19" s="5" t="s">
        <v>235</v>
      </c>
      <c r="B19" s="5" t="s">
        <v>312</v>
      </c>
    </row>
    <row r="20" spans="1:16">
      <c r="K20" s="5">
        <f>+K14+K18</f>
        <v>6960000</v>
      </c>
    </row>
    <row r="21" spans="1:16">
      <c r="J21" s="16" t="s">
        <v>86</v>
      </c>
      <c r="L21" s="16" t="s">
        <v>85</v>
      </c>
    </row>
    <row r="22" spans="1:16">
      <c r="B22" s="16" t="s">
        <v>52</v>
      </c>
      <c r="C22" s="63">
        <v>-30000000</v>
      </c>
      <c r="D22" s="50"/>
      <c r="E22" s="50"/>
      <c r="F22" s="18"/>
      <c r="G22" s="18"/>
      <c r="H22" s="18">
        <v>3000000</v>
      </c>
      <c r="J22" s="52" t="s">
        <v>306</v>
      </c>
      <c r="K22" s="53">
        <f>+Q12</f>
        <v>4000000</v>
      </c>
      <c r="L22" s="52" t="s">
        <v>88</v>
      </c>
      <c r="M22" s="54" t="s">
        <v>314</v>
      </c>
    </row>
    <row r="23" spans="1:16">
      <c r="B23" s="16" t="s">
        <v>50</v>
      </c>
      <c r="C23" s="54"/>
      <c r="D23" s="75">
        <f>+(C26-H27)/D25</f>
        <v>6589616.3707150323</v>
      </c>
      <c r="E23" s="75"/>
      <c r="F23" s="75"/>
      <c r="G23" s="75"/>
      <c r="H23" s="75"/>
      <c r="J23" s="55" t="s">
        <v>305</v>
      </c>
      <c r="K23" s="56" t="s">
        <v>313</v>
      </c>
      <c r="L23" s="55"/>
      <c r="M23" s="57"/>
    </row>
    <row r="24" spans="1:16">
      <c r="B24" s="16" t="s">
        <v>54</v>
      </c>
      <c r="C24" s="16"/>
      <c r="D24" s="16"/>
      <c r="E24" s="16"/>
      <c r="H24" s="5" t="str">
        <f>+L22</f>
        <v>収益</v>
      </c>
      <c r="J24" s="60" t="s">
        <v>76</v>
      </c>
      <c r="K24" s="61">
        <f>+K14</f>
        <v>5400000</v>
      </c>
      <c r="L24" s="55"/>
      <c r="M24" s="57"/>
      <c r="O24" s="5" t="s">
        <v>315</v>
      </c>
      <c r="P24" s="5">
        <f>+K22+K24+K26</f>
        <v>11382693.95119172</v>
      </c>
    </row>
    <row r="25" spans="1:16">
      <c r="B25" s="16" t="s">
        <v>51</v>
      </c>
      <c r="C25" s="16"/>
      <c r="D25" s="155">
        <v>4.2123999999999997</v>
      </c>
      <c r="E25" s="156"/>
      <c r="F25" s="156"/>
      <c r="G25" s="156"/>
      <c r="H25" s="157"/>
      <c r="J25" s="62"/>
      <c r="K25" s="63"/>
      <c r="L25" s="55"/>
      <c r="M25" s="57"/>
      <c r="O25" s="5" t="s">
        <v>316</v>
      </c>
      <c r="P25" s="5">
        <f>+P10-P11</f>
        <v>1200</v>
      </c>
    </row>
    <row r="26" spans="1:16" ht="17.25" thickBot="1">
      <c r="B26" s="16" t="s">
        <v>53</v>
      </c>
      <c r="C26" s="16">
        <v>30000000</v>
      </c>
      <c r="D26" s="16"/>
      <c r="E26" s="16"/>
      <c r="H26" s="30">
        <v>0.74729999999999996</v>
      </c>
      <c r="J26" s="55" t="s">
        <v>90</v>
      </c>
      <c r="K26" s="56">
        <f>+K28/0.6</f>
        <v>1982693.9511917206</v>
      </c>
      <c r="L26" s="55"/>
      <c r="M26" s="57"/>
      <c r="O26" s="5" t="s">
        <v>317</v>
      </c>
      <c r="P26" s="5">
        <f>+P24/P25</f>
        <v>9485.5782926597658</v>
      </c>
    </row>
    <row r="27" spans="1:16" ht="17.25" thickBot="1">
      <c r="B27" s="5" t="s">
        <v>310</v>
      </c>
      <c r="C27" s="13">
        <v>0</v>
      </c>
      <c r="H27" s="5">
        <f>+H22*H26</f>
        <v>2241900</v>
      </c>
      <c r="J27" s="55" t="s">
        <v>91</v>
      </c>
      <c r="K27" s="64" t="s">
        <v>92</v>
      </c>
      <c r="L27" s="55"/>
      <c r="M27" s="57"/>
    </row>
    <row r="28" spans="1:16">
      <c r="J28" s="58">
        <f>+K26*0.4</f>
        <v>793077.58047668822</v>
      </c>
      <c r="K28" s="65">
        <f>+K30-K24</f>
        <v>1189616.3707150323</v>
      </c>
      <c r="L28" s="58"/>
      <c r="M28" s="59"/>
    </row>
    <row r="30" spans="1:16">
      <c r="K30" s="5">
        <f>+D23</f>
        <v>6589616.3707150323</v>
      </c>
    </row>
  </sheetData>
  <mergeCells count="2">
    <mergeCell ref="D15:H15"/>
    <mergeCell ref="D25:H25"/>
  </mergeCells>
  <phoneticPr fontId="1"/>
  <pageMargins left="0.25" right="0.25" top="0.75" bottom="0.75" header="0.3" footer="0.3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7"/>
  <sheetViews>
    <sheetView workbookViewId="0"/>
  </sheetViews>
  <sheetFormatPr defaultColWidth="10.5" defaultRowHeight="16.5"/>
  <cols>
    <col min="1" max="1" width="10.625" style="5" customWidth="1"/>
    <col min="2" max="2" width="11.5" style="5" customWidth="1"/>
    <col min="3" max="3" width="11.125" style="5" customWidth="1"/>
    <col min="4" max="4" width="11.5" style="5" customWidth="1"/>
    <col min="5" max="7" width="10.5" style="5"/>
    <col min="8" max="8" width="10.375" style="5" customWidth="1"/>
    <col min="9" max="16384" width="10.5" style="5"/>
  </cols>
  <sheetData>
    <row r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>
      <c r="A2" s="6" t="s">
        <v>336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4">
      <c r="A3" s="9" t="s">
        <v>119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4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4" ht="18" customHeight="1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4">
      <c r="A6" s="22" t="s">
        <v>320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3"/>
    </row>
    <row r="7" spans="1:14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</sheetData>
  <phoneticPr fontId="1"/>
  <pageMargins left="0.25" right="0.25" top="0.75" bottom="0.75" header="0.3" footer="0.3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3"/>
  <sheetViews>
    <sheetView topLeftCell="A2" workbookViewId="0"/>
  </sheetViews>
  <sheetFormatPr defaultColWidth="10.5" defaultRowHeight="16.5"/>
  <cols>
    <col min="1" max="1" width="10.625" style="5" customWidth="1"/>
    <col min="2" max="2" width="11.5" style="5" customWidth="1"/>
    <col min="3" max="3" width="11.125" style="5" customWidth="1"/>
    <col min="4" max="4" width="11.5" style="5" customWidth="1"/>
    <col min="5" max="7" width="10.5" style="5"/>
    <col min="8" max="8" width="10.375" style="5" customWidth="1"/>
    <col min="9" max="16384" width="10.5" style="5"/>
  </cols>
  <sheetData>
    <row r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>
      <c r="A2" s="6" t="s">
        <v>336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4">
      <c r="A3" s="9" t="s">
        <v>161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4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4" ht="18" customHeight="1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4">
      <c r="A6" s="22" t="s">
        <v>321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3"/>
    </row>
    <row r="7" spans="1:14">
      <c r="A7" s="24" t="s">
        <v>335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9" spans="1:14">
      <c r="A9" s="5" t="s">
        <v>322</v>
      </c>
    </row>
    <row r="10" spans="1:14">
      <c r="B10" s="5" t="s">
        <v>323</v>
      </c>
      <c r="C10" s="5">
        <v>10</v>
      </c>
      <c r="D10" s="5" t="s">
        <v>4</v>
      </c>
      <c r="E10" s="5" t="s">
        <v>325</v>
      </c>
    </row>
    <row r="11" spans="1:14" ht="18.75" customHeight="1">
      <c r="B11" s="5" t="s">
        <v>324</v>
      </c>
      <c r="C11" s="5">
        <v>1000</v>
      </c>
      <c r="E11" s="158" t="s">
        <v>537</v>
      </c>
      <c r="F11" s="12" t="s">
        <v>538</v>
      </c>
    </row>
    <row r="12" spans="1:14">
      <c r="B12" s="5" t="s">
        <v>328</v>
      </c>
      <c r="C12" s="104">
        <v>0.06</v>
      </c>
      <c r="E12" s="158"/>
      <c r="F12" s="5" t="s">
        <v>539</v>
      </c>
    </row>
    <row r="13" spans="1:14" ht="17.25" thickBot="1">
      <c r="B13" s="5" t="s">
        <v>326</v>
      </c>
      <c r="F13" s="115" t="s">
        <v>540</v>
      </c>
    </row>
    <row r="14" spans="1:14" ht="17.25" thickBot="1">
      <c r="C14" s="5" t="s">
        <v>327</v>
      </c>
      <c r="D14" s="113">
        <f>+C10/C11+C12</f>
        <v>6.9999999999999993E-2</v>
      </c>
    </row>
    <row r="16" spans="1:14">
      <c r="A16" s="5" t="s">
        <v>235</v>
      </c>
      <c r="B16" s="5" t="s">
        <v>331</v>
      </c>
    </row>
    <row r="18" spans="1:5">
      <c r="A18" s="5" t="s">
        <v>329</v>
      </c>
      <c r="B18" s="5" t="s">
        <v>330</v>
      </c>
      <c r="D18" s="5" t="s">
        <v>251</v>
      </c>
      <c r="E18" s="5" t="s">
        <v>334</v>
      </c>
    </row>
    <row r="19" spans="1:5">
      <c r="B19" s="52"/>
      <c r="C19" s="76" t="s">
        <v>332</v>
      </c>
      <c r="D19" s="109">
        <v>4.2999999999999997E-2</v>
      </c>
    </row>
    <row r="20" spans="1:5">
      <c r="B20" s="79"/>
      <c r="C20" s="18">
        <f>100000000*0.98</f>
        <v>98000000</v>
      </c>
      <c r="D20" s="109"/>
    </row>
    <row r="21" spans="1:5">
      <c r="B21" s="79"/>
      <c r="C21" s="76" t="s">
        <v>333</v>
      </c>
      <c r="D21" s="109">
        <v>7.0000000000000007E-2</v>
      </c>
    </row>
    <row r="22" spans="1:5" ht="17.25" thickBot="1">
      <c r="B22" s="108"/>
      <c r="C22" s="18">
        <f>1000*500000</f>
        <v>500000000</v>
      </c>
    </row>
    <row r="23" spans="1:5" ht="17.25" thickBot="1">
      <c r="E23" s="88">
        <f>(C20*D19+C22*D21)/(C20+C22)</f>
        <v>6.5575250836120397E-2</v>
      </c>
    </row>
  </sheetData>
  <mergeCells count="1">
    <mergeCell ref="E11:E12"/>
  </mergeCells>
  <phoneticPr fontId="1"/>
  <pageMargins left="0.25" right="0.25" top="0.75" bottom="0.75" header="0.3" footer="0.3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44"/>
  <sheetViews>
    <sheetView zoomScale="85" zoomScaleNormal="85" workbookViewId="0"/>
  </sheetViews>
  <sheetFormatPr defaultColWidth="10.5" defaultRowHeight="16.5"/>
  <cols>
    <col min="1" max="1" width="10.625" style="5" customWidth="1"/>
    <col min="2" max="2" width="11.5" style="5" customWidth="1"/>
    <col min="3" max="3" width="11.125" style="5" customWidth="1"/>
    <col min="4" max="4" width="11.5" style="5" customWidth="1"/>
    <col min="5" max="7" width="10.5" style="5"/>
    <col min="8" max="8" width="10.375" style="5" customWidth="1"/>
    <col min="9" max="16384" width="10.5" style="5"/>
  </cols>
  <sheetData>
    <row r="1" spans="1:1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6">
      <c r="A2" s="6" t="s">
        <v>336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6">
      <c r="A3" s="9" t="s">
        <v>198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6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6" ht="18" customHeight="1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6">
      <c r="A6" s="22" t="s">
        <v>361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3"/>
    </row>
    <row r="7" spans="1:16">
      <c r="A7" s="24" t="s">
        <v>362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9" spans="1:16">
      <c r="B9" s="5" t="s">
        <v>339</v>
      </c>
    </row>
    <row r="10" spans="1:16">
      <c r="A10" s="5" t="s">
        <v>311</v>
      </c>
      <c r="I10" s="67" t="s">
        <v>100</v>
      </c>
      <c r="J10" s="67"/>
      <c r="K10" s="67"/>
      <c r="L10" s="67"/>
      <c r="N10" s="5" t="s">
        <v>237</v>
      </c>
      <c r="O10" s="5">
        <v>5000</v>
      </c>
    </row>
    <row r="11" spans="1:16">
      <c r="I11" s="16" t="s">
        <v>87</v>
      </c>
      <c r="J11" s="16"/>
      <c r="K11" s="16"/>
      <c r="N11" s="5" t="s">
        <v>224</v>
      </c>
      <c r="O11" s="5">
        <v>30000</v>
      </c>
    </row>
    <row r="12" spans="1:16">
      <c r="G12" s="5" t="s">
        <v>338</v>
      </c>
      <c r="I12" s="16" t="s">
        <v>86</v>
      </c>
      <c r="K12" s="16" t="s">
        <v>85</v>
      </c>
      <c r="N12" s="5" t="s">
        <v>305</v>
      </c>
      <c r="O12" s="5">
        <v>12000</v>
      </c>
    </row>
    <row r="13" spans="1:16">
      <c r="B13" s="16" t="s">
        <v>52</v>
      </c>
      <c r="C13" s="63">
        <v>-120000000</v>
      </c>
      <c r="D13" s="50"/>
      <c r="E13" s="50"/>
      <c r="F13" s="18"/>
      <c r="G13" s="18">
        <f>+O15*0.1</f>
        <v>12000000</v>
      </c>
      <c r="I13" s="52" t="s">
        <v>89</v>
      </c>
      <c r="J13" s="53">
        <f>+O10*O12+P13</f>
        <v>90000000</v>
      </c>
      <c r="K13" s="52" t="s">
        <v>345</v>
      </c>
      <c r="L13" s="54">
        <f>+O10*O11</f>
        <v>150000000</v>
      </c>
      <c r="N13" s="5" t="s">
        <v>306</v>
      </c>
      <c r="P13" s="5">
        <v>30000000</v>
      </c>
    </row>
    <row r="14" spans="1:16">
      <c r="B14" s="16" t="s">
        <v>50</v>
      </c>
      <c r="C14" s="54"/>
      <c r="D14" s="75">
        <f>+J21</f>
        <v>46800000</v>
      </c>
      <c r="E14" s="75">
        <f>+D14</f>
        <v>46800000</v>
      </c>
      <c r="F14" s="75">
        <f>+E14</f>
        <v>46800000</v>
      </c>
      <c r="G14" s="75">
        <f>+F14</f>
        <v>46800000</v>
      </c>
      <c r="I14" s="55"/>
      <c r="J14" s="56"/>
      <c r="K14" s="55"/>
      <c r="L14" s="57"/>
    </row>
    <row r="15" spans="1:16">
      <c r="B15" s="16" t="s">
        <v>54</v>
      </c>
      <c r="C15" s="16"/>
      <c r="D15" s="16"/>
      <c r="E15" s="16"/>
      <c r="G15" s="5" t="str">
        <f>+K13</f>
        <v>収益①</v>
      </c>
      <c r="I15" s="60" t="s">
        <v>76</v>
      </c>
      <c r="J15" s="61">
        <f>+O16</f>
        <v>27000000</v>
      </c>
      <c r="K15" s="55"/>
      <c r="L15" s="57"/>
      <c r="N15" s="5" t="s">
        <v>308</v>
      </c>
      <c r="O15" s="5">
        <f>-C13</f>
        <v>120000000</v>
      </c>
    </row>
    <row r="16" spans="1:16">
      <c r="B16" s="16" t="s">
        <v>51</v>
      </c>
      <c r="C16" s="16"/>
      <c r="D16" s="155">
        <v>3.6299000000000001</v>
      </c>
      <c r="E16" s="156"/>
      <c r="F16" s="156"/>
      <c r="G16" s="157"/>
      <c r="I16" s="62"/>
      <c r="J16" s="63"/>
      <c r="K16" s="55"/>
      <c r="L16" s="57"/>
      <c r="N16" s="5" t="s">
        <v>309</v>
      </c>
      <c r="O16" s="5">
        <f>+O15*0.9/4</f>
        <v>27000000</v>
      </c>
    </row>
    <row r="17" spans="1:15" ht="17.25" thickBot="1">
      <c r="B17" s="16" t="s">
        <v>53</v>
      </c>
      <c r="C17" s="16">
        <f>+D14*D16+G13*G17</f>
        <v>180136920</v>
      </c>
      <c r="D17" s="16"/>
      <c r="E17" s="16"/>
      <c r="G17" s="30">
        <v>0.8548</v>
      </c>
      <c r="I17" s="55" t="s">
        <v>90</v>
      </c>
      <c r="J17" s="56">
        <f>+L13-J13-J15</f>
        <v>33000000</v>
      </c>
      <c r="K17" s="55"/>
      <c r="L17" s="57"/>
    </row>
    <row r="18" spans="1:15" ht="17.25" thickBot="1">
      <c r="B18" s="5" t="s">
        <v>310</v>
      </c>
      <c r="C18" s="13">
        <f>+SUM(C13:C17)</f>
        <v>60136920</v>
      </c>
      <c r="I18" s="55" t="s">
        <v>91</v>
      </c>
      <c r="J18" s="64" t="s">
        <v>92</v>
      </c>
      <c r="K18" s="55"/>
      <c r="L18" s="57"/>
    </row>
    <row r="19" spans="1:15">
      <c r="I19" s="58">
        <f>+J17*0.4</f>
        <v>13200000</v>
      </c>
      <c r="J19" s="65">
        <f>+J17*0.6</f>
        <v>19800000</v>
      </c>
      <c r="K19" s="58"/>
      <c r="L19" s="59"/>
    </row>
    <row r="20" spans="1:15">
      <c r="A20" s="5" t="s">
        <v>340</v>
      </c>
    </row>
    <row r="21" spans="1:15">
      <c r="J21" s="98">
        <f>+J15+J19</f>
        <v>46800000</v>
      </c>
      <c r="K21" s="5" t="s">
        <v>337</v>
      </c>
    </row>
    <row r="22" spans="1:15">
      <c r="B22" s="5" t="s">
        <v>341</v>
      </c>
      <c r="C22" s="5">
        <f>+C18</f>
        <v>60136920</v>
      </c>
    </row>
    <row r="23" spans="1:15" ht="17.25" thickBot="1">
      <c r="B23" s="5" t="s">
        <v>342</v>
      </c>
      <c r="I23" s="16" t="s">
        <v>86</v>
      </c>
      <c r="K23" s="16" t="s">
        <v>85</v>
      </c>
      <c r="N23" s="5" t="s">
        <v>343</v>
      </c>
    </row>
    <row r="24" spans="1:15" ht="17.25" thickBot="1">
      <c r="C24" s="5">
        <f>+C18/D16</f>
        <v>16567101.022066724</v>
      </c>
      <c r="I24" s="52" t="s">
        <v>89</v>
      </c>
      <c r="J24" s="53">
        <f>+J13</f>
        <v>90000000</v>
      </c>
      <c r="K24" s="52" t="s">
        <v>346</v>
      </c>
      <c r="L24" s="54">
        <f>+J24+J26+J28</f>
        <v>122388164.96322213</v>
      </c>
      <c r="N24" s="13">
        <f>+L24/O10</f>
        <v>24477.632992644427</v>
      </c>
    </row>
    <row r="25" spans="1:15">
      <c r="I25" s="55"/>
      <c r="J25" s="56"/>
      <c r="K25" s="55"/>
      <c r="L25" s="57"/>
    </row>
    <row r="26" spans="1:15" ht="17.25" thickBot="1">
      <c r="I26" s="60" t="s">
        <v>76</v>
      </c>
      <c r="J26" s="61">
        <f>+J15</f>
        <v>27000000</v>
      </c>
      <c r="K26" s="55"/>
      <c r="L26" s="57"/>
      <c r="N26" s="5" t="s">
        <v>344</v>
      </c>
    </row>
    <row r="27" spans="1:15" ht="17.25" thickBot="1">
      <c r="I27" s="62"/>
      <c r="J27" s="63"/>
      <c r="K27" s="55"/>
      <c r="L27" s="57"/>
      <c r="N27" s="13">
        <f>+P13+L13-L24</f>
        <v>57611835.036777869</v>
      </c>
      <c r="O27" s="5" t="s">
        <v>347</v>
      </c>
    </row>
    <row r="28" spans="1:15">
      <c r="I28" s="55" t="s">
        <v>90</v>
      </c>
      <c r="J28" s="56">
        <f>+J30/0.6</f>
        <v>5388164.9632221274</v>
      </c>
      <c r="K28" s="55"/>
      <c r="L28" s="57"/>
    </row>
    <row r="29" spans="1:15">
      <c r="I29" s="55" t="s">
        <v>91</v>
      </c>
      <c r="J29" s="64" t="s">
        <v>92</v>
      </c>
      <c r="K29" s="55"/>
      <c r="L29" s="57"/>
    </row>
    <row r="30" spans="1:15">
      <c r="I30" s="58">
        <f>+J28*0.4</f>
        <v>2155265.985288851</v>
      </c>
      <c r="J30" s="65">
        <f>+J32-J26</f>
        <v>3232898.9779332764</v>
      </c>
      <c r="K30" s="58"/>
      <c r="L30" s="59"/>
    </row>
    <row r="32" spans="1:15">
      <c r="J32" s="98">
        <f>+J21-C24</f>
        <v>30232898.977933276</v>
      </c>
      <c r="K32" s="5" t="s">
        <v>337</v>
      </c>
    </row>
    <row r="34" spans="1:8">
      <c r="A34" s="5" t="s">
        <v>329</v>
      </c>
      <c r="B34" s="5" t="s">
        <v>348</v>
      </c>
    </row>
    <row r="35" spans="1:8" ht="17.25" thickBot="1">
      <c r="E35" s="5" t="s">
        <v>352</v>
      </c>
      <c r="F35" s="5" t="s">
        <v>353</v>
      </c>
    </row>
    <row r="36" spans="1:8">
      <c r="B36" s="5" t="s">
        <v>349</v>
      </c>
      <c r="E36" s="5">
        <v>45326928</v>
      </c>
      <c r="F36" s="110">
        <f>+E36-$C$18</f>
        <v>-14809992</v>
      </c>
    </row>
    <row r="37" spans="1:8">
      <c r="B37" s="5" t="s">
        <v>350</v>
      </c>
      <c r="E37" s="5">
        <v>66670740</v>
      </c>
      <c r="F37" s="111">
        <f>+E37-$C$18</f>
        <v>6533820</v>
      </c>
    </row>
    <row r="38" spans="1:8" ht="17.25" thickBot="1">
      <c r="B38" s="5" t="s">
        <v>351</v>
      </c>
      <c r="E38" s="5">
        <v>48158250</v>
      </c>
      <c r="F38" s="112">
        <f>+E38-$C$18</f>
        <v>-11978670</v>
      </c>
    </row>
    <row r="40" spans="1:8">
      <c r="A40" s="5" t="s">
        <v>354</v>
      </c>
    </row>
    <row r="41" spans="1:8">
      <c r="C41" s="5" t="s">
        <v>224</v>
      </c>
      <c r="D41" s="5" t="s">
        <v>357</v>
      </c>
      <c r="E41" s="5" t="s">
        <v>358</v>
      </c>
      <c r="H41" s="5" t="s">
        <v>352</v>
      </c>
    </row>
    <row r="42" spans="1:8">
      <c r="B42" s="5" t="s">
        <v>356</v>
      </c>
      <c r="C42" s="5">
        <v>32000</v>
      </c>
      <c r="D42" s="5">
        <v>5500</v>
      </c>
      <c r="E42" s="5">
        <v>28000000</v>
      </c>
      <c r="F42" s="5" t="s">
        <v>359</v>
      </c>
      <c r="H42" s="5">
        <v>98468664</v>
      </c>
    </row>
    <row r="43" spans="1:8" ht="17.25" thickBot="1">
      <c r="B43" s="5" t="s">
        <v>355</v>
      </c>
      <c r="C43" s="5">
        <v>26000</v>
      </c>
      <c r="D43" s="5">
        <v>4000</v>
      </c>
      <c r="E43" s="5">
        <v>34000000</v>
      </c>
      <c r="F43" s="5" t="s">
        <v>360</v>
      </c>
      <c r="H43" s="5">
        <v>-8685984</v>
      </c>
    </row>
    <row r="44" spans="1:8" ht="17.25" thickBot="1">
      <c r="G44" s="5" t="s">
        <v>184</v>
      </c>
      <c r="H44" s="13">
        <f>+H42-H43</f>
        <v>107154648</v>
      </c>
    </row>
  </sheetData>
  <mergeCells count="1">
    <mergeCell ref="D16:G16"/>
  </mergeCells>
  <phoneticPr fontId="1"/>
  <pageMargins left="0.25" right="0.25" top="0.75" bottom="0.75" header="0.3" footer="0.3"/>
  <pageSetup paperSize="9" scale="65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61"/>
  <sheetViews>
    <sheetView topLeftCell="A13" zoomScale="85" zoomScaleNormal="85" workbookViewId="0"/>
  </sheetViews>
  <sheetFormatPr defaultColWidth="10.5" defaultRowHeight="16.5"/>
  <cols>
    <col min="1" max="1" width="10.625" style="5" customWidth="1"/>
    <col min="2" max="2" width="11.5" style="5" customWidth="1"/>
    <col min="3" max="3" width="11.125" style="5" customWidth="1"/>
    <col min="4" max="4" width="11.5" style="5" customWidth="1"/>
    <col min="5" max="7" width="10.5" style="5"/>
    <col min="8" max="8" width="10.375" style="5" customWidth="1"/>
    <col min="9" max="16384" width="10.5" style="5"/>
  </cols>
  <sheetData>
    <row r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>
      <c r="A2" s="6" t="s">
        <v>336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4">
      <c r="A3" s="9" t="s">
        <v>424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4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4" ht="18" customHeight="1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4">
      <c r="A6" s="22" t="s">
        <v>422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3"/>
    </row>
    <row r="7" spans="1:14">
      <c r="A7" s="24" t="s">
        <v>423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9" spans="1:14">
      <c r="A9" s="5" t="s">
        <v>363</v>
      </c>
    </row>
    <row r="11" spans="1:14">
      <c r="B11" s="5" t="s">
        <v>364</v>
      </c>
      <c r="C11" s="5">
        <v>6000</v>
      </c>
      <c r="D11" s="5">
        <v>12000</v>
      </c>
    </row>
    <row r="12" spans="1:14">
      <c r="B12" s="5" t="s">
        <v>365</v>
      </c>
      <c r="C12" s="5">
        <v>4950000</v>
      </c>
      <c r="D12" s="5">
        <v>6750000</v>
      </c>
    </row>
    <row r="13" spans="1:14" ht="17.25" thickBot="1"/>
    <row r="14" spans="1:14" ht="17.25" thickBot="1">
      <c r="B14" s="5" t="s">
        <v>366</v>
      </c>
      <c r="C14" s="66">
        <f>+(D12-C12)/(D11-C11)</f>
        <v>300</v>
      </c>
      <c r="D14" s="5" t="s">
        <v>367</v>
      </c>
      <c r="E14" s="13">
        <f>+C12-C11*C14</f>
        <v>3150000</v>
      </c>
    </row>
    <row r="16" spans="1:14">
      <c r="A16" s="5" t="s">
        <v>235</v>
      </c>
      <c r="B16" s="5" t="s">
        <v>368</v>
      </c>
      <c r="C16" s="5">
        <v>1200</v>
      </c>
    </row>
    <row r="17" spans="1:8">
      <c r="B17" s="5" t="s">
        <v>231</v>
      </c>
      <c r="C17" s="5">
        <f>+C16-C14</f>
        <v>900</v>
      </c>
    </row>
    <row r="18" spans="1:8">
      <c r="B18" s="5" t="s">
        <v>369</v>
      </c>
      <c r="C18" s="104">
        <f>+C17/C16</f>
        <v>0.75</v>
      </c>
    </row>
    <row r="19" spans="1:8" ht="17.25" thickBot="1">
      <c r="B19" s="5" t="s">
        <v>370</v>
      </c>
      <c r="C19" s="5">
        <f>+E14/C18</f>
        <v>4200000</v>
      </c>
      <c r="D19" s="5" t="s">
        <v>4</v>
      </c>
    </row>
    <row r="20" spans="1:8" ht="17.25" thickBot="1">
      <c r="C20" s="13">
        <f>+C19/C16</f>
        <v>3500</v>
      </c>
      <c r="D20" s="5" t="s">
        <v>371</v>
      </c>
    </row>
    <row r="22" spans="1:8" ht="17.25" thickBot="1">
      <c r="A22" s="5" t="s">
        <v>329</v>
      </c>
      <c r="G22" s="5" t="s">
        <v>376</v>
      </c>
      <c r="H22" s="5" t="s">
        <v>377</v>
      </c>
    </row>
    <row r="23" spans="1:8" ht="17.25" thickBot="1">
      <c r="B23" s="5" t="s">
        <v>3</v>
      </c>
      <c r="C23" s="5">
        <v>200000000</v>
      </c>
      <c r="E23" s="5" t="s">
        <v>373</v>
      </c>
      <c r="F23" s="5">
        <f>8000</f>
        <v>8000</v>
      </c>
      <c r="H23" s="13">
        <f>+H26/(F24-F25)</f>
        <v>9055.5555555555547</v>
      </c>
    </row>
    <row r="24" spans="1:8">
      <c r="B24" s="5" t="s">
        <v>90</v>
      </c>
      <c r="C24" s="5">
        <f>+G29*12</f>
        <v>29160000</v>
      </c>
      <c r="E24" s="5" t="s">
        <v>372</v>
      </c>
      <c r="F24" s="5">
        <v>1200</v>
      </c>
    </row>
    <row r="25" spans="1:8">
      <c r="E25" s="5" t="s">
        <v>305</v>
      </c>
      <c r="F25" s="5">
        <v>300</v>
      </c>
    </row>
    <row r="26" spans="1:8" ht="17.25" thickBot="1">
      <c r="B26" s="5" t="s">
        <v>44</v>
      </c>
      <c r="E26" s="5" t="s">
        <v>231</v>
      </c>
      <c r="G26" s="5">
        <f>+F23*(F24-F25)</f>
        <v>7200000</v>
      </c>
      <c r="H26" s="5">
        <f>+H28+H27</f>
        <v>8150000</v>
      </c>
    </row>
    <row r="27" spans="1:8" ht="17.25" thickBot="1">
      <c r="C27" s="113">
        <f>+C24/C23</f>
        <v>0.14580000000000001</v>
      </c>
      <c r="E27" s="5" t="s">
        <v>306</v>
      </c>
      <c r="G27" s="5">
        <f>+E14</f>
        <v>3150000</v>
      </c>
      <c r="H27" s="5">
        <f>+G27</f>
        <v>3150000</v>
      </c>
    </row>
    <row r="28" spans="1:8">
      <c r="E28" s="5" t="s">
        <v>374</v>
      </c>
      <c r="G28" s="5">
        <f>+G26-G27</f>
        <v>4050000</v>
      </c>
      <c r="H28" s="5">
        <f>+H29/0.6</f>
        <v>5000000</v>
      </c>
    </row>
    <row r="29" spans="1:8">
      <c r="E29" s="5" t="s">
        <v>375</v>
      </c>
      <c r="G29" s="5">
        <f>+G28*0.6</f>
        <v>2430000</v>
      </c>
      <c r="H29" s="5">
        <f>+C32/12</f>
        <v>3000000</v>
      </c>
    </row>
    <row r="31" spans="1:8">
      <c r="A31" s="5" t="s">
        <v>354</v>
      </c>
      <c r="B31" s="5" t="s">
        <v>3</v>
      </c>
      <c r="C31" s="5">
        <v>200000000</v>
      </c>
    </row>
    <row r="32" spans="1:8">
      <c r="B32" s="5" t="s">
        <v>90</v>
      </c>
      <c r="C32" s="28">
        <f>+C31*C35</f>
        <v>36000000</v>
      </c>
      <c r="D32" s="5" t="s">
        <v>383</v>
      </c>
    </row>
    <row r="34" spans="1:7" ht="17.25" thickBot="1">
      <c r="B34" s="5" t="s">
        <v>44</v>
      </c>
    </row>
    <row r="35" spans="1:7" ht="17.25" thickBot="1">
      <c r="C35" s="104">
        <v>0.18</v>
      </c>
      <c r="E35" s="5" t="s">
        <v>384</v>
      </c>
      <c r="F35" s="13">
        <f>+(E14+C32/0.6/12)/C18/C16</f>
        <v>9055.5555555555547</v>
      </c>
      <c r="G35" s="5" t="s">
        <v>385</v>
      </c>
    </row>
    <row r="36" spans="1:7">
      <c r="C36" s="104"/>
      <c r="F36" s="115" t="s">
        <v>386</v>
      </c>
    </row>
    <row r="38" spans="1:7">
      <c r="A38" s="5" t="s">
        <v>378</v>
      </c>
      <c r="C38" s="5" t="s">
        <v>379</v>
      </c>
      <c r="F38" s="5" t="s">
        <v>382</v>
      </c>
    </row>
    <row r="39" spans="1:7">
      <c r="C39" s="5" t="s">
        <v>380</v>
      </c>
      <c r="D39" s="5" t="s">
        <v>381</v>
      </c>
      <c r="F39" s="5" t="s">
        <v>380</v>
      </c>
      <c r="G39" s="5" t="s">
        <v>381</v>
      </c>
    </row>
    <row r="40" spans="1:7">
      <c r="B40" s="5" t="s">
        <v>3</v>
      </c>
      <c r="C40" s="5">
        <v>600000000</v>
      </c>
      <c r="D40" s="5">
        <f>+C40+C23</f>
        <v>800000000</v>
      </c>
      <c r="F40" s="5">
        <v>180000000</v>
      </c>
      <c r="G40" s="5">
        <f>+F40+C23</f>
        <v>380000000</v>
      </c>
    </row>
    <row r="41" spans="1:7" ht="17.25" thickBot="1">
      <c r="B41" s="5" t="s">
        <v>375</v>
      </c>
      <c r="C41" s="5">
        <f>120000000*0.6</f>
        <v>72000000</v>
      </c>
      <c r="D41" s="5">
        <f>+C41+C24</f>
        <v>101160000</v>
      </c>
      <c r="F41" s="5">
        <f>45000000*0.6</f>
        <v>27000000</v>
      </c>
      <c r="G41" s="5">
        <f>+F41+C24</f>
        <v>56160000</v>
      </c>
    </row>
    <row r="42" spans="1:7" ht="17.25" thickBot="1">
      <c r="C42" s="114">
        <f>+C41/C40</f>
        <v>0.12</v>
      </c>
      <c r="D42" s="37">
        <f>+D41/D40</f>
        <v>0.12645000000000001</v>
      </c>
      <c r="F42" s="114">
        <f>+F41/F40</f>
        <v>0.15</v>
      </c>
      <c r="G42" s="37">
        <f>+G41/G40</f>
        <v>0.14778947368421053</v>
      </c>
    </row>
    <row r="43" spans="1:7">
      <c r="D43" s="5" t="s">
        <v>387</v>
      </c>
    </row>
    <row r="45" spans="1:7">
      <c r="A45" s="5" t="s">
        <v>388</v>
      </c>
      <c r="B45" s="5" t="s">
        <v>389</v>
      </c>
    </row>
    <row r="46" spans="1:7">
      <c r="B46" s="5" t="s">
        <v>421</v>
      </c>
    </row>
    <row r="47" spans="1:7" ht="17.25" thickBot="1"/>
    <row r="48" spans="1:7">
      <c r="B48" s="5" t="s">
        <v>390</v>
      </c>
      <c r="D48" s="110" t="s">
        <v>400</v>
      </c>
      <c r="E48" s="5" t="s">
        <v>401</v>
      </c>
    </row>
    <row r="49" spans="2:11">
      <c r="B49" s="5" t="s">
        <v>391</v>
      </c>
      <c r="D49" s="111" t="s">
        <v>402</v>
      </c>
      <c r="E49" s="5" t="s">
        <v>401</v>
      </c>
      <c r="H49" s="5" t="s">
        <v>407</v>
      </c>
    </row>
    <row r="50" spans="2:11">
      <c r="B50" s="5" t="s">
        <v>392</v>
      </c>
      <c r="D50" s="111" t="s">
        <v>403</v>
      </c>
      <c r="E50" s="5" t="s">
        <v>401</v>
      </c>
      <c r="H50" s="52"/>
      <c r="I50" s="76" t="s">
        <v>408</v>
      </c>
    </row>
    <row r="51" spans="2:11">
      <c r="B51" s="5" t="s">
        <v>393</v>
      </c>
      <c r="D51" s="111" t="s">
        <v>404</v>
      </c>
      <c r="E51" s="5" t="s">
        <v>401</v>
      </c>
      <c r="H51" s="79"/>
      <c r="I51" s="116">
        <v>0.4</v>
      </c>
      <c r="J51" s="104">
        <v>0.08</v>
      </c>
      <c r="K51" s="104">
        <f>+J51*0.6</f>
        <v>4.8000000000000001E-2</v>
      </c>
    </row>
    <row r="52" spans="2:11">
      <c r="B52" s="5" t="s">
        <v>394</v>
      </c>
      <c r="D52" s="111" t="s">
        <v>405</v>
      </c>
      <c r="E52" s="5" t="s">
        <v>406</v>
      </c>
      <c r="H52" s="79"/>
      <c r="I52" s="40" t="s">
        <v>409</v>
      </c>
    </row>
    <row r="53" spans="2:11">
      <c r="B53" s="5" t="s">
        <v>395</v>
      </c>
      <c r="D53" s="117">
        <f>+K55</f>
        <v>7.9199999999999993E-2</v>
      </c>
      <c r="E53" s="5" t="s">
        <v>411</v>
      </c>
      <c r="H53" s="108"/>
      <c r="I53" s="116">
        <v>0.6</v>
      </c>
      <c r="J53" s="104">
        <v>0.1</v>
      </c>
    </row>
    <row r="54" spans="2:11">
      <c r="B54" s="5" t="s">
        <v>396</v>
      </c>
      <c r="D54" s="111">
        <f>(I61+K61)*10000</f>
        <v>722500000</v>
      </c>
      <c r="E54" s="5" t="s">
        <v>419</v>
      </c>
    </row>
    <row r="55" spans="2:11">
      <c r="B55" s="5" t="s">
        <v>397</v>
      </c>
      <c r="D55" s="111">
        <f>+D41-D54*$D$53</f>
        <v>43938000.000000007</v>
      </c>
      <c r="E55" s="5" t="s">
        <v>420</v>
      </c>
      <c r="J55" s="5" t="s">
        <v>410</v>
      </c>
      <c r="K55" s="107">
        <f>+K51*I51+J53*I53</f>
        <v>7.9199999999999993E-2</v>
      </c>
    </row>
    <row r="56" spans="2:11">
      <c r="B56" s="5" t="s">
        <v>398</v>
      </c>
      <c r="D56" s="111">
        <f>(J61+K61)*10000</f>
        <v>332500000</v>
      </c>
      <c r="E56" s="5" t="s">
        <v>419</v>
      </c>
    </row>
    <row r="57" spans="2:11" ht="17.25" thickBot="1">
      <c r="B57" s="5" t="s">
        <v>399</v>
      </c>
      <c r="D57" s="112">
        <f>+G41-D56*D53</f>
        <v>29826000.000000004</v>
      </c>
      <c r="E57" s="5" t="s">
        <v>420</v>
      </c>
      <c r="I57" s="5" t="s">
        <v>415</v>
      </c>
    </row>
    <row r="58" spans="2:11">
      <c r="I58" s="5" t="s">
        <v>413</v>
      </c>
      <c r="J58" s="5" t="s">
        <v>412</v>
      </c>
      <c r="K58" s="5" t="s">
        <v>414</v>
      </c>
    </row>
    <row r="59" spans="2:11">
      <c r="H59" s="5" t="s">
        <v>416</v>
      </c>
      <c r="I59" s="5">
        <v>60000</v>
      </c>
      <c r="J59" s="5">
        <v>18000</v>
      </c>
      <c r="K59" s="5">
        <v>20000</v>
      </c>
    </row>
    <row r="60" spans="2:11">
      <c r="H60" s="5" t="s">
        <v>417</v>
      </c>
      <c r="I60" s="5">
        <v>7500</v>
      </c>
      <c r="J60" s="5">
        <v>4500</v>
      </c>
      <c r="K60" s="5">
        <v>250</v>
      </c>
    </row>
    <row r="61" spans="2:11">
      <c r="H61" s="5" t="s">
        <v>418</v>
      </c>
      <c r="I61" s="5">
        <f>+I59-I60</f>
        <v>52500</v>
      </c>
      <c r="J61" s="5">
        <f t="shared" ref="J61:K61" si="0">+J59-J60</f>
        <v>13500</v>
      </c>
      <c r="K61" s="5">
        <f t="shared" si="0"/>
        <v>19750</v>
      </c>
    </row>
  </sheetData>
  <phoneticPr fontId="1"/>
  <pageMargins left="0.25" right="0.25" top="0.75" bottom="0.75" header="0.3" footer="0.3"/>
  <pageSetup paperSize="9"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56"/>
  <sheetViews>
    <sheetView zoomScale="85" zoomScaleNormal="85" workbookViewId="0"/>
  </sheetViews>
  <sheetFormatPr defaultColWidth="10.5" defaultRowHeight="16.5"/>
  <cols>
    <col min="1" max="1" width="10.625" style="5" customWidth="1"/>
    <col min="2" max="2" width="11.5" style="5" customWidth="1"/>
    <col min="3" max="3" width="11.125" style="5" customWidth="1"/>
    <col min="4" max="4" width="11.5" style="5" customWidth="1"/>
    <col min="5" max="7" width="10.5" style="5"/>
    <col min="8" max="8" width="10.375" style="5" customWidth="1"/>
    <col min="9" max="16384" width="10.5" style="5"/>
  </cols>
  <sheetData>
    <row r="1" spans="1:1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6">
      <c r="A2" s="6" t="s">
        <v>336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6">
      <c r="A3" s="9" t="s">
        <v>161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6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6" ht="18" customHeight="1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6">
      <c r="A6" s="22" t="s">
        <v>425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3"/>
    </row>
    <row r="7" spans="1:16">
      <c r="A7" s="24" t="s">
        <v>439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9" spans="1:16">
      <c r="A9" s="5" t="s">
        <v>426</v>
      </c>
      <c r="D9" s="5" t="s">
        <v>19</v>
      </c>
      <c r="E9" s="5" t="s">
        <v>210</v>
      </c>
      <c r="F9" s="5" t="s">
        <v>21</v>
      </c>
      <c r="G9" s="5" t="s">
        <v>22</v>
      </c>
      <c r="H9" s="5" t="s">
        <v>23</v>
      </c>
      <c r="I9" s="5" t="s">
        <v>427</v>
      </c>
    </row>
    <row r="10" spans="1:16">
      <c r="B10" s="16" t="s">
        <v>52</v>
      </c>
      <c r="C10" s="63">
        <v>-7200</v>
      </c>
      <c r="D10" s="50"/>
      <c r="E10" s="50">
        <f>+C10</f>
        <v>-7200</v>
      </c>
      <c r="F10" s="18"/>
      <c r="G10" s="18">
        <f>+C10</f>
        <v>-7200</v>
      </c>
      <c r="H10" s="18">
        <f>+Q13*0.1</f>
        <v>0</v>
      </c>
      <c r="I10" s="18">
        <f>+R13*0.1</f>
        <v>0</v>
      </c>
      <c r="M10" s="67" t="s">
        <v>100</v>
      </c>
      <c r="N10" s="67"/>
      <c r="O10" s="67"/>
      <c r="P10" s="67"/>
    </row>
    <row r="11" spans="1:16">
      <c r="B11" s="16" t="s">
        <v>50</v>
      </c>
      <c r="C11" s="54"/>
      <c r="D11" s="75"/>
      <c r="E11" s="75"/>
      <c r="F11" s="75"/>
      <c r="G11" s="75"/>
      <c r="H11" s="75"/>
      <c r="I11" s="75"/>
      <c r="M11" s="16" t="s">
        <v>87</v>
      </c>
      <c r="N11" s="16"/>
      <c r="O11" s="16"/>
    </row>
    <row r="12" spans="1:16">
      <c r="B12" s="123" t="s">
        <v>432</v>
      </c>
      <c r="C12" s="124"/>
      <c r="D12" s="124">
        <f>$N$13</f>
        <v>-3200</v>
      </c>
      <c r="E12" s="124">
        <f t="shared" ref="E12:I12" si="0">$N$13</f>
        <v>-3200</v>
      </c>
      <c r="F12" s="124">
        <f t="shared" si="0"/>
        <v>-3200</v>
      </c>
      <c r="G12" s="124">
        <f t="shared" si="0"/>
        <v>-3200</v>
      </c>
      <c r="H12" s="124">
        <f t="shared" si="0"/>
        <v>-3200</v>
      </c>
      <c r="I12" s="125">
        <f t="shared" si="0"/>
        <v>-3200</v>
      </c>
      <c r="M12" s="16" t="s">
        <v>86</v>
      </c>
      <c r="O12" s="16" t="s">
        <v>85</v>
      </c>
    </row>
    <row r="13" spans="1:16">
      <c r="B13" s="126" t="s">
        <v>433</v>
      </c>
      <c r="C13" s="56"/>
      <c r="D13" s="56">
        <f>+$N$14</f>
        <v>1280</v>
      </c>
      <c r="E13" s="56">
        <f t="shared" ref="E13:I13" si="1">+$N$14</f>
        <v>1280</v>
      </c>
      <c r="F13" s="56">
        <f t="shared" si="1"/>
        <v>1280</v>
      </c>
      <c r="G13" s="56">
        <f t="shared" si="1"/>
        <v>1280</v>
      </c>
      <c r="H13" s="56">
        <f t="shared" si="1"/>
        <v>1280</v>
      </c>
      <c r="I13" s="127">
        <f t="shared" si="1"/>
        <v>1280</v>
      </c>
      <c r="M13" s="73" t="s">
        <v>89</v>
      </c>
      <c r="N13" s="121">
        <v>-3200</v>
      </c>
      <c r="O13" s="52" t="s">
        <v>88</v>
      </c>
      <c r="P13" s="54" t="s">
        <v>430</v>
      </c>
    </row>
    <row r="14" spans="1:16">
      <c r="B14" s="128" t="s">
        <v>434</v>
      </c>
      <c r="C14" s="129"/>
      <c r="D14" s="129">
        <f>+$N$16</f>
        <v>1296</v>
      </c>
      <c r="E14" s="129">
        <f t="shared" ref="E14:I14" si="2">+$N$16</f>
        <v>1296</v>
      </c>
      <c r="F14" s="129">
        <f t="shared" si="2"/>
        <v>1296</v>
      </c>
      <c r="G14" s="129">
        <f t="shared" si="2"/>
        <v>1296</v>
      </c>
      <c r="H14" s="129">
        <f t="shared" si="2"/>
        <v>1296</v>
      </c>
      <c r="I14" s="130">
        <f t="shared" si="2"/>
        <v>1296</v>
      </c>
      <c r="M14" s="118" t="s">
        <v>431</v>
      </c>
      <c r="N14" s="122">
        <f>-N13*0.4</f>
        <v>1280</v>
      </c>
      <c r="O14" s="55"/>
      <c r="P14" s="57"/>
    </row>
    <row r="15" spans="1:16">
      <c r="B15" s="16" t="s">
        <v>54</v>
      </c>
      <c r="C15" s="16"/>
      <c r="D15" s="16"/>
      <c r="E15" s="16">
        <v>800</v>
      </c>
      <c r="G15" s="16">
        <v>800</v>
      </c>
      <c r="I15" s="16">
        <v>800</v>
      </c>
      <c r="M15" s="73" t="s">
        <v>76</v>
      </c>
      <c r="N15" s="54">
        <f>+(-C10*0.9)/2</f>
        <v>3240</v>
      </c>
      <c r="O15" s="55"/>
      <c r="P15" s="57"/>
    </row>
    <row r="16" spans="1:16">
      <c r="B16" s="16" t="s">
        <v>429</v>
      </c>
      <c r="C16" s="16"/>
      <c r="D16" s="16"/>
      <c r="E16" s="16">
        <f>((-$C$10*0.1)-E15)*0.4</f>
        <v>-32</v>
      </c>
      <c r="G16" s="16">
        <f>((-$C$10*0.1)-G15)*0.4</f>
        <v>-32</v>
      </c>
      <c r="I16" s="16">
        <f>((-$C$10*0.1)-I15)*0.4</f>
        <v>-32</v>
      </c>
      <c r="M16" s="120" t="s">
        <v>431</v>
      </c>
      <c r="N16" s="119">
        <f>+N15*0.4</f>
        <v>1296</v>
      </c>
      <c r="O16" s="55"/>
      <c r="P16" s="57"/>
    </row>
    <row r="17" spans="1:16">
      <c r="B17" s="16" t="s">
        <v>51</v>
      </c>
      <c r="C17" s="16"/>
      <c r="D17" s="30">
        <v>0.91739999999999999</v>
      </c>
      <c r="E17" s="30">
        <v>0.8417</v>
      </c>
      <c r="F17" s="30">
        <v>0.7722</v>
      </c>
      <c r="G17" s="30">
        <v>0.70840000000000003</v>
      </c>
      <c r="H17" s="30">
        <v>0.64990000000000003</v>
      </c>
      <c r="I17" s="30">
        <v>0.59630000000000005</v>
      </c>
      <c r="M17" s="55" t="s">
        <v>90</v>
      </c>
      <c r="N17" s="56" t="s">
        <v>430</v>
      </c>
      <c r="O17" s="55"/>
      <c r="P17" s="57"/>
    </row>
    <row r="18" spans="1:16">
      <c r="B18" s="16"/>
      <c r="C18" s="16"/>
      <c r="D18" s="159">
        <f>+SUM(D17:I17)</f>
        <v>4.4859</v>
      </c>
      <c r="E18" s="160"/>
      <c r="F18" s="160"/>
      <c r="G18" s="160"/>
      <c r="H18" s="160"/>
      <c r="I18" s="161"/>
      <c r="M18" s="55" t="s">
        <v>431</v>
      </c>
      <c r="N18" s="56" t="s">
        <v>92</v>
      </c>
      <c r="O18" s="55"/>
      <c r="P18" s="57"/>
    </row>
    <row r="19" spans="1:16">
      <c r="B19" s="16" t="s">
        <v>436</v>
      </c>
      <c r="C19" s="16"/>
      <c r="D19" s="16"/>
      <c r="E19" s="16"/>
      <c r="F19" s="16"/>
      <c r="G19" s="16"/>
      <c r="H19" s="16"/>
      <c r="I19" s="16"/>
      <c r="M19" s="58"/>
      <c r="N19" s="49" t="s">
        <v>430</v>
      </c>
      <c r="O19" s="58"/>
      <c r="P19" s="59"/>
    </row>
    <row r="20" spans="1:16">
      <c r="B20" s="16" t="s">
        <v>3</v>
      </c>
      <c r="C20" s="69">
        <f>+C10+SUM(D20:I20)</f>
        <v>-18360.72</v>
      </c>
      <c r="D20" s="16"/>
      <c r="E20" s="16">
        <f>+E10*E$17</f>
        <v>-6060.24</v>
      </c>
      <c r="F20" s="16"/>
      <c r="G20" s="16">
        <f>+G10*G$17</f>
        <v>-5100.4800000000005</v>
      </c>
      <c r="H20" s="16"/>
      <c r="I20" s="16"/>
    </row>
    <row r="21" spans="1:16">
      <c r="B21" s="16" t="s">
        <v>432</v>
      </c>
      <c r="C21" s="16">
        <f>+D12*D18</f>
        <v>-14354.88</v>
      </c>
      <c r="D21" s="16"/>
      <c r="E21" s="16"/>
      <c r="F21" s="16"/>
      <c r="G21" s="16"/>
      <c r="H21" s="16"/>
      <c r="I21" s="16"/>
    </row>
    <row r="22" spans="1:16">
      <c r="B22" s="16" t="s">
        <v>433</v>
      </c>
      <c r="C22" s="16">
        <f>+D13*D18</f>
        <v>5741.9520000000002</v>
      </c>
    </row>
    <row r="23" spans="1:16">
      <c r="B23" s="16" t="s">
        <v>434</v>
      </c>
      <c r="C23" s="16">
        <f>+D14*D18</f>
        <v>5813.7263999999996</v>
      </c>
    </row>
    <row r="24" spans="1:16">
      <c r="B24" s="16" t="s">
        <v>54</v>
      </c>
      <c r="C24" s="16">
        <f>+SUM(D24:I24)</f>
        <v>1717.12</v>
      </c>
      <c r="E24" s="16">
        <f>+E15*E$17</f>
        <v>673.36</v>
      </c>
      <c r="G24" s="16">
        <f>+G15*G$17</f>
        <v>566.72</v>
      </c>
      <c r="I24" s="16">
        <f>+I15*I$17</f>
        <v>477.04</v>
      </c>
    </row>
    <row r="25" spans="1:16">
      <c r="B25" s="16" t="s">
        <v>428</v>
      </c>
      <c r="C25" s="16">
        <f>+SUM(D25:I25)</f>
        <v>-68.684799999999996</v>
      </c>
      <c r="E25" s="16">
        <f>+E16*E$17</f>
        <v>-26.9344</v>
      </c>
      <c r="G25" s="16">
        <f>+G16*G$17</f>
        <v>-22.668800000000001</v>
      </c>
      <c r="I25" s="16">
        <f>+I16*I$17</f>
        <v>-19.081600000000002</v>
      </c>
    </row>
    <row r="26" spans="1:16" ht="17.25" thickBot="1">
      <c r="B26" s="16"/>
      <c r="C26" s="16"/>
    </row>
    <row r="27" spans="1:16" ht="17.25" thickBot="1">
      <c r="B27" s="5" t="s">
        <v>310</v>
      </c>
      <c r="C27" s="13">
        <f>+SUM(C20:C25)</f>
        <v>-19511.486399999998</v>
      </c>
    </row>
    <row r="29" spans="1:16">
      <c r="A29" s="5" t="s">
        <v>437</v>
      </c>
      <c r="D29" s="5" t="s">
        <v>19</v>
      </c>
      <c r="E29" s="5" t="s">
        <v>210</v>
      </c>
      <c r="F29" s="5" t="s">
        <v>21</v>
      </c>
      <c r="G29" s="5" t="s">
        <v>22</v>
      </c>
      <c r="H29" s="5" t="s">
        <v>23</v>
      </c>
      <c r="I29" s="5" t="s">
        <v>427</v>
      </c>
    </row>
    <row r="30" spans="1:16">
      <c r="B30" s="16" t="s">
        <v>52</v>
      </c>
      <c r="C30" s="63">
        <v>-8500</v>
      </c>
      <c r="D30" s="50"/>
      <c r="E30" s="50"/>
      <c r="F30" s="18">
        <f>+C30</f>
        <v>-8500</v>
      </c>
      <c r="G30" s="18"/>
      <c r="H30" s="18">
        <f>+Q33*0.1</f>
        <v>0</v>
      </c>
      <c r="I30" s="18">
        <f>+R33*0.1</f>
        <v>0</v>
      </c>
      <c r="M30" s="67" t="s">
        <v>100</v>
      </c>
      <c r="N30" s="67"/>
      <c r="O30" s="67"/>
      <c r="P30" s="67"/>
    </row>
    <row r="31" spans="1:16">
      <c r="B31" s="16" t="s">
        <v>50</v>
      </c>
      <c r="C31" s="54"/>
      <c r="D31" s="75"/>
      <c r="E31" s="75"/>
      <c r="F31" s="75"/>
      <c r="G31" s="75"/>
      <c r="H31" s="75"/>
      <c r="I31" s="75"/>
      <c r="M31" s="16" t="s">
        <v>87</v>
      </c>
      <c r="N31" s="16"/>
      <c r="O31" s="16"/>
    </row>
    <row r="32" spans="1:16">
      <c r="B32" s="123" t="s">
        <v>432</v>
      </c>
      <c r="C32" s="124"/>
      <c r="D32" s="124"/>
      <c r="E32" s="124"/>
      <c r="F32" s="124"/>
      <c r="G32" s="124"/>
      <c r="H32" s="124"/>
      <c r="I32" s="125"/>
      <c r="M32" s="16" t="s">
        <v>86</v>
      </c>
      <c r="O32" s="16" t="s">
        <v>85</v>
      </c>
    </row>
    <row r="33" spans="2:16">
      <c r="B33" s="126" t="s">
        <v>433</v>
      </c>
      <c r="C33" s="56"/>
      <c r="D33" s="56"/>
      <c r="E33" s="56"/>
      <c r="F33" s="56"/>
      <c r="G33" s="56"/>
      <c r="H33" s="56"/>
      <c r="I33" s="127"/>
      <c r="M33" s="73" t="s">
        <v>89</v>
      </c>
      <c r="N33" s="121" t="s">
        <v>430</v>
      </c>
      <c r="O33" s="52" t="s">
        <v>88</v>
      </c>
      <c r="P33" s="54" t="s">
        <v>430</v>
      </c>
    </row>
    <row r="34" spans="2:16">
      <c r="B34" s="128" t="s">
        <v>434</v>
      </c>
      <c r="C34" s="129"/>
      <c r="D34" s="129">
        <f>+$N$36</f>
        <v>1020</v>
      </c>
      <c r="E34" s="129">
        <f t="shared" ref="E34:I34" si="3">+$N$36</f>
        <v>1020</v>
      </c>
      <c r="F34" s="129">
        <f t="shared" si="3"/>
        <v>1020</v>
      </c>
      <c r="G34" s="129">
        <f t="shared" si="3"/>
        <v>1020</v>
      </c>
      <c r="H34" s="129">
        <f t="shared" si="3"/>
        <v>1020</v>
      </c>
      <c r="I34" s="130">
        <f t="shared" si="3"/>
        <v>1020</v>
      </c>
      <c r="M34" s="118" t="s">
        <v>431</v>
      </c>
      <c r="N34" s="122" t="s">
        <v>430</v>
      </c>
      <c r="O34" s="55"/>
      <c r="P34" s="57"/>
    </row>
    <row r="35" spans="2:16">
      <c r="B35" s="16" t="s">
        <v>54</v>
      </c>
      <c r="C35" s="16"/>
      <c r="D35" s="16"/>
      <c r="E35" s="16"/>
      <c r="F35" s="5">
        <v>800</v>
      </c>
      <c r="G35" s="16"/>
      <c r="I35" s="16">
        <v>800</v>
      </c>
      <c r="M35" s="73" t="s">
        <v>76</v>
      </c>
      <c r="N35" s="54">
        <f>+(-C30*0.9)/3</f>
        <v>2550</v>
      </c>
      <c r="O35" s="55"/>
      <c r="P35" s="57"/>
    </row>
    <row r="36" spans="2:16">
      <c r="B36" s="16" t="s">
        <v>429</v>
      </c>
      <c r="C36" s="16"/>
      <c r="D36" s="16"/>
      <c r="E36" s="16"/>
      <c r="F36" s="5">
        <f>+(-$C$30*0.1-F35)*0.4</f>
        <v>20</v>
      </c>
      <c r="G36" s="16"/>
      <c r="I36" s="5">
        <f>+(-$C$30*0.1-I35)*0.4</f>
        <v>20</v>
      </c>
      <c r="M36" s="120" t="s">
        <v>431</v>
      </c>
      <c r="N36" s="119">
        <f>+N35*0.4</f>
        <v>1020</v>
      </c>
      <c r="O36" s="55"/>
      <c r="P36" s="57"/>
    </row>
    <row r="37" spans="2:16">
      <c r="B37" s="16" t="s">
        <v>51</v>
      </c>
      <c r="C37" s="16"/>
      <c r="D37" s="30">
        <v>0.91739999999999999</v>
      </c>
      <c r="E37" s="30">
        <v>0.8417</v>
      </c>
      <c r="F37" s="30">
        <v>0.7722</v>
      </c>
      <c r="G37" s="30">
        <v>0.70840000000000003</v>
      </c>
      <c r="H37" s="30">
        <v>0.64990000000000003</v>
      </c>
      <c r="I37" s="30">
        <v>0.59630000000000005</v>
      </c>
      <c r="M37" s="55" t="s">
        <v>90</v>
      </c>
      <c r="N37" s="56" t="s">
        <v>430</v>
      </c>
      <c r="O37" s="55"/>
      <c r="P37" s="57"/>
    </row>
    <row r="38" spans="2:16">
      <c r="B38" s="16"/>
      <c r="C38" s="16"/>
      <c r="D38" s="159">
        <f>+SUM(D37:I37)</f>
        <v>4.4859</v>
      </c>
      <c r="E38" s="160"/>
      <c r="F38" s="160"/>
      <c r="G38" s="160"/>
      <c r="H38" s="160"/>
      <c r="I38" s="161"/>
      <c r="M38" s="55" t="s">
        <v>431</v>
      </c>
      <c r="N38" s="56" t="s">
        <v>92</v>
      </c>
      <c r="O38" s="55"/>
      <c r="P38" s="57"/>
    </row>
    <row r="39" spans="2:16">
      <c r="B39" s="16" t="s">
        <v>436</v>
      </c>
      <c r="C39" s="16"/>
      <c r="D39" s="16"/>
      <c r="E39" s="16"/>
      <c r="F39" s="16"/>
      <c r="G39" s="16"/>
      <c r="H39" s="16"/>
      <c r="I39" s="16"/>
      <c r="M39" s="58"/>
      <c r="N39" s="49" t="s">
        <v>430</v>
      </c>
      <c r="O39" s="58"/>
      <c r="P39" s="59"/>
    </row>
    <row r="40" spans="2:16">
      <c r="B40" s="16" t="s">
        <v>3</v>
      </c>
      <c r="C40" s="69">
        <f>+C30+SUM(D40:I40)</f>
        <v>-15063.7</v>
      </c>
      <c r="D40" s="16"/>
      <c r="E40" s="16"/>
      <c r="F40" s="16">
        <f>+F30*F$17</f>
        <v>-6563.7</v>
      </c>
      <c r="G40" s="16"/>
      <c r="H40" s="16"/>
      <c r="I40" s="16"/>
    </row>
    <row r="41" spans="2:16">
      <c r="B41" s="16" t="s">
        <v>432</v>
      </c>
      <c r="C41" s="162">
        <f>+C47-SUM(C40,C43:C45)</f>
        <v>-10145.574399999998</v>
      </c>
      <c r="D41" s="16"/>
      <c r="E41" s="16"/>
      <c r="F41" s="16"/>
      <c r="G41" s="16"/>
      <c r="H41" s="16"/>
      <c r="I41" s="16"/>
    </row>
    <row r="42" spans="2:16">
      <c r="B42" s="16" t="s">
        <v>433</v>
      </c>
      <c r="C42" s="163"/>
    </row>
    <row r="43" spans="2:16">
      <c r="B43" s="16" t="s">
        <v>434</v>
      </c>
      <c r="C43" s="16">
        <f>+D34*D38</f>
        <v>4575.6180000000004</v>
      </c>
    </row>
    <row r="44" spans="2:16">
      <c r="B44" s="16" t="s">
        <v>54</v>
      </c>
      <c r="C44" s="16">
        <f>+SUM(D44:I44)</f>
        <v>1094.8</v>
      </c>
      <c r="E44" s="16"/>
      <c r="F44" s="16">
        <f>+F35*F37</f>
        <v>617.76</v>
      </c>
      <c r="G44" s="16"/>
      <c r="I44" s="16">
        <f>+I35*I37</f>
        <v>477.04</v>
      </c>
    </row>
    <row r="45" spans="2:16">
      <c r="B45" s="16" t="s">
        <v>428</v>
      </c>
      <c r="C45" s="16">
        <f>+SUM(D45:I45)</f>
        <v>27.37</v>
      </c>
      <c r="E45" s="16"/>
      <c r="F45" s="16">
        <f>+F36*F37</f>
        <v>15.443999999999999</v>
      </c>
      <c r="G45" s="16"/>
      <c r="I45" s="16">
        <f>+I36*I37</f>
        <v>11.926000000000002</v>
      </c>
    </row>
    <row r="46" spans="2:16" ht="17.25" thickBot="1">
      <c r="B46" s="16"/>
      <c r="C46" s="16"/>
    </row>
    <row r="47" spans="2:16" ht="17.25" thickBot="1">
      <c r="B47" s="5" t="s">
        <v>310</v>
      </c>
      <c r="C47" s="13">
        <f>+C27</f>
        <v>-19511.486399999998</v>
      </c>
    </row>
    <row r="48" spans="2:16" ht="17.25" thickBot="1">
      <c r="E48" s="5" t="s">
        <v>438</v>
      </c>
      <c r="G48" s="13">
        <f>+C41/D38/0.6</f>
        <v>-3769.4310320485665</v>
      </c>
    </row>
    <row r="50" spans="1:4">
      <c r="A50" s="5" t="s">
        <v>330</v>
      </c>
    </row>
    <row r="51" spans="1:4">
      <c r="A51" s="5" t="s">
        <v>407</v>
      </c>
    </row>
    <row r="52" spans="1:4">
      <c r="A52" s="52"/>
      <c r="B52" s="76" t="s">
        <v>408</v>
      </c>
    </row>
    <row r="53" spans="1:4">
      <c r="A53" s="79"/>
      <c r="B53" s="116">
        <v>0.4</v>
      </c>
      <c r="C53" s="109">
        <v>7.4999999999999997E-2</v>
      </c>
      <c r="D53" s="104">
        <f>+C53*0.6</f>
        <v>4.4999999999999998E-2</v>
      </c>
    </row>
    <row r="54" spans="1:4">
      <c r="A54" s="79"/>
      <c r="B54" s="40" t="s">
        <v>409</v>
      </c>
    </row>
    <row r="55" spans="1:4">
      <c r="A55" s="108"/>
      <c r="B55" s="116">
        <v>0.6</v>
      </c>
      <c r="C55" s="104">
        <v>0.12</v>
      </c>
    </row>
    <row r="56" spans="1:4">
      <c r="C56" s="5" t="s">
        <v>435</v>
      </c>
      <c r="D56" s="131">
        <f>+D53*B53+C55*B55</f>
        <v>0.09</v>
      </c>
    </row>
  </sheetData>
  <mergeCells count="3">
    <mergeCell ref="D18:I18"/>
    <mergeCell ref="D38:I38"/>
    <mergeCell ref="C41:C42"/>
  </mergeCells>
  <phoneticPr fontId="1"/>
  <pageMargins left="0.25" right="0.25" top="0.75" bottom="0.75" header="0.3" footer="0.3"/>
  <pageSetup paperSize="9" scale="65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27"/>
  <sheetViews>
    <sheetView zoomScaleNormal="100" workbookViewId="0"/>
  </sheetViews>
  <sheetFormatPr defaultColWidth="10.5" defaultRowHeight="16.5"/>
  <cols>
    <col min="1" max="1" width="10.625" style="5" customWidth="1"/>
    <col min="2" max="2" width="11.5" style="5" customWidth="1"/>
    <col min="3" max="3" width="11.125" style="5" customWidth="1"/>
    <col min="4" max="4" width="11.5" style="5" customWidth="1"/>
    <col min="5" max="6" width="11.5" style="5" bestFit="1" customWidth="1"/>
    <col min="7" max="7" width="10.5" style="5"/>
    <col min="8" max="8" width="10.375" style="5" customWidth="1"/>
    <col min="9" max="16384" width="10.5" style="5"/>
  </cols>
  <sheetData>
    <row r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>
      <c r="A2" s="6" t="s">
        <v>440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4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4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4" ht="18" customHeight="1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4">
      <c r="A6" s="22" t="s">
        <v>441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3"/>
    </row>
    <row r="7" spans="1:14">
      <c r="A7" s="24" t="s">
        <v>456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1:14">
      <c r="D8" s="5" t="s">
        <v>450</v>
      </c>
      <c r="E8" s="5">
        <v>100000</v>
      </c>
    </row>
    <row r="9" spans="1:14">
      <c r="A9" s="5" t="s">
        <v>442</v>
      </c>
      <c r="D9" s="5" t="s">
        <v>273</v>
      </c>
      <c r="E9" s="5" t="s">
        <v>307</v>
      </c>
    </row>
    <row r="10" spans="1:14">
      <c r="B10" s="5" t="s">
        <v>372</v>
      </c>
      <c r="D10" s="5">
        <v>80000</v>
      </c>
      <c r="F10" s="5">
        <f>+D10*E8</f>
        <v>8000000000</v>
      </c>
    </row>
    <row r="11" spans="1:14">
      <c r="B11" s="5" t="s">
        <v>445</v>
      </c>
    </row>
    <row r="12" spans="1:14">
      <c r="C12" s="5" t="s">
        <v>443</v>
      </c>
      <c r="E12" s="5">
        <v>50000000</v>
      </c>
      <c r="G12" s="5" t="s">
        <v>452</v>
      </c>
    </row>
    <row r="13" spans="1:14">
      <c r="C13" s="5" t="s">
        <v>444</v>
      </c>
    </row>
    <row r="14" spans="1:14">
      <c r="C14" s="5" t="s">
        <v>446</v>
      </c>
      <c r="D14" s="5">
        <v>20000</v>
      </c>
      <c r="E14" s="5">
        <f>+D14*$E$8</f>
        <v>2000000000</v>
      </c>
    </row>
    <row r="15" spans="1:14">
      <c r="C15" s="5" t="s">
        <v>447</v>
      </c>
      <c r="E15" s="5">
        <v>80000000</v>
      </c>
    </row>
    <row r="16" spans="1:14">
      <c r="C16" s="5" t="s">
        <v>448</v>
      </c>
    </row>
    <row r="17" spans="1:6">
      <c r="C17" s="5" t="s">
        <v>446</v>
      </c>
      <c r="D17" s="5">
        <v>5000</v>
      </c>
      <c r="E17" s="5">
        <f>+D17*$E$8</f>
        <v>500000000</v>
      </c>
    </row>
    <row r="18" spans="1:6">
      <c r="C18" s="5" t="s">
        <v>447</v>
      </c>
      <c r="E18" s="5">
        <v>50000000</v>
      </c>
    </row>
    <row r="19" spans="1:6">
      <c r="C19" s="5" t="s">
        <v>449</v>
      </c>
    </row>
    <row r="20" spans="1:6">
      <c r="C20" s="5" t="s">
        <v>446</v>
      </c>
      <c r="D20" s="5">
        <v>4000</v>
      </c>
      <c r="E20" s="5">
        <f>+D20*$E$8</f>
        <v>400000000</v>
      </c>
    </row>
    <row r="21" spans="1:6">
      <c r="C21" s="5" t="s">
        <v>447</v>
      </c>
      <c r="E21" s="5">
        <v>35000000</v>
      </c>
    </row>
    <row r="22" spans="1:6">
      <c r="C22" s="5" t="s">
        <v>451</v>
      </c>
      <c r="D22" s="5">
        <v>2000</v>
      </c>
      <c r="E22" s="5">
        <f>+D22*$E$8</f>
        <v>200000000</v>
      </c>
      <c r="F22" s="5">
        <f>+SUM(E12:E22)</f>
        <v>3315000000</v>
      </c>
    </row>
    <row r="23" spans="1:6" ht="17.25" thickBot="1">
      <c r="C23" s="5" t="s">
        <v>453</v>
      </c>
      <c r="F23" s="17">
        <f>+F10-F22</f>
        <v>4685000000</v>
      </c>
    </row>
    <row r="24" spans="1:6" ht="17.25" thickTop="1"/>
    <row r="25" spans="1:6">
      <c r="A25" s="5" t="s">
        <v>235</v>
      </c>
      <c r="B25" s="5" t="s">
        <v>454</v>
      </c>
      <c r="F25" s="107">
        <f>+E12/F22</f>
        <v>1.5082956259426848E-2</v>
      </c>
    </row>
    <row r="27" spans="1:6">
      <c r="A27" s="5" t="s">
        <v>329</v>
      </c>
      <c r="B27" s="5" t="s">
        <v>455</v>
      </c>
    </row>
  </sheetData>
  <phoneticPr fontId="1"/>
  <pageMargins left="0.25" right="0.25" top="0.75" bottom="0.75" header="0.3" footer="0.3"/>
  <pageSetup paperSize="9"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21"/>
  <sheetViews>
    <sheetView topLeftCell="A4" zoomScaleNormal="100" workbookViewId="0"/>
  </sheetViews>
  <sheetFormatPr defaultColWidth="10.5" defaultRowHeight="16.5"/>
  <cols>
    <col min="1" max="1" width="10.625" style="5" customWidth="1"/>
    <col min="2" max="2" width="11.5" style="5" customWidth="1"/>
    <col min="3" max="3" width="11.125" style="5" customWidth="1"/>
    <col min="4" max="6" width="11.5" style="5" customWidth="1"/>
    <col min="7" max="7" width="10.5" style="5"/>
    <col min="8" max="8" width="10.375" style="5" customWidth="1"/>
    <col min="9" max="16384" width="10.5" style="5"/>
  </cols>
  <sheetData>
    <row r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>
      <c r="A2" s="6" t="s">
        <v>440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4">
      <c r="A3" s="9" t="s">
        <v>119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4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4" ht="18" customHeight="1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4">
      <c r="A6" s="22" t="s">
        <v>475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3"/>
    </row>
    <row r="7" spans="1:14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9" spans="1:14" ht="17.25" thickBot="1">
      <c r="E9" s="5" t="s">
        <v>469</v>
      </c>
    </row>
    <row r="10" spans="1:14">
      <c r="A10" s="5" t="s">
        <v>457</v>
      </c>
      <c r="D10" s="5">
        <v>4600</v>
      </c>
      <c r="E10" s="28" t="s">
        <v>472</v>
      </c>
      <c r="H10" s="5" t="s">
        <v>470</v>
      </c>
      <c r="I10" s="110">
        <f>+SUMIF($E$10:$E$21,H10,$D$10:$D$21)</f>
        <v>8000</v>
      </c>
    </row>
    <row r="11" spans="1:14">
      <c r="A11" s="5" t="s">
        <v>458</v>
      </c>
      <c r="D11" s="5">
        <v>8600</v>
      </c>
      <c r="E11" s="28" t="s">
        <v>472</v>
      </c>
      <c r="H11" s="5" t="s">
        <v>471</v>
      </c>
      <c r="I11" s="111">
        <f>+SUMIF($E$10:$E$21,H11,$D$10:$D$21)</f>
        <v>31800</v>
      </c>
    </row>
    <row r="12" spans="1:14">
      <c r="A12" s="5" t="s">
        <v>459</v>
      </c>
      <c r="D12" s="5">
        <v>16800</v>
      </c>
      <c r="E12" s="28" t="s">
        <v>471</v>
      </c>
      <c r="H12" s="5" t="s">
        <v>472</v>
      </c>
      <c r="I12" s="111">
        <f>+SUMIF($E$10:$E$21,H12,$D$10:$D$21)</f>
        <v>16840</v>
      </c>
    </row>
    <row r="13" spans="1:14" ht="17.25" thickBot="1">
      <c r="A13" s="5" t="s">
        <v>460</v>
      </c>
      <c r="D13" s="5">
        <v>4400</v>
      </c>
      <c r="E13" s="28" t="s">
        <v>473</v>
      </c>
      <c r="H13" s="5" t="s">
        <v>473</v>
      </c>
      <c r="I13" s="112">
        <f>+SUMIF($E$10:$E$21,H13,$D$10:$D$21)</f>
        <v>7520</v>
      </c>
    </row>
    <row r="14" spans="1:14">
      <c r="A14" s="5" t="s">
        <v>461</v>
      </c>
      <c r="D14" s="5">
        <v>120</v>
      </c>
      <c r="E14" s="28" t="s">
        <v>473</v>
      </c>
    </row>
    <row r="15" spans="1:14">
      <c r="A15" s="5" t="s">
        <v>462</v>
      </c>
      <c r="D15" s="5">
        <v>2400</v>
      </c>
      <c r="E15" s="28" t="s">
        <v>470</v>
      </c>
      <c r="I15" s="5" t="s">
        <v>474</v>
      </c>
    </row>
    <row r="16" spans="1:14">
      <c r="A16" s="5" t="s">
        <v>463</v>
      </c>
      <c r="D16" s="5">
        <v>40</v>
      </c>
      <c r="E16" s="28" t="s">
        <v>472</v>
      </c>
    </row>
    <row r="17" spans="1:5">
      <c r="A17" s="5" t="s">
        <v>468</v>
      </c>
      <c r="D17" s="5">
        <v>3600</v>
      </c>
      <c r="E17" s="28" t="s">
        <v>472</v>
      </c>
    </row>
    <row r="18" spans="1:5">
      <c r="A18" s="5" t="s">
        <v>464</v>
      </c>
      <c r="D18" s="5">
        <v>5600</v>
      </c>
      <c r="E18" s="28" t="s">
        <v>470</v>
      </c>
    </row>
    <row r="19" spans="1:5">
      <c r="A19" s="5" t="s">
        <v>465</v>
      </c>
      <c r="D19" s="5">
        <v>6600</v>
      </c>
      <c r="E19" s="28" t="s">
        <v>471</v>
      </c>
    </row>
    <row r="20" spans="1:5">
      <c r="A20" s="5" t="s">
        <v>466</v>
      </c>
      <c r="D20" s="5">
        <v>8400</v>
      </c>
      <c r="E20" s="28" t="s">
        <v>471</v>
      </c>
    </row>
    <row r="21" spans="1:5">
      <c r="A21" s="5" t="s">
        <v>467</v>
      </c>
      <c r="D21" s="5">
        <v>3000</v>
      </c>
      <c r="E21" s="28" t="s">
        <v>473</v>
      </c>
    </row>
  </sheetData>
  <phoneticPr fontId="1"/>
  <pageMargins left="0.25" right="0.25" top="0.75" bottom="0.75" header="0.3" footer="0.3"/>
  <pageSetup paperSize="9" scale="6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P23"/>
  <sheetViews>
    <sheetView topLeftCell="A7" zoomScaleNormal="100" workbookViewId="0"/>
  </sheetViews>
  <sheetFormatPr defaultColWidth="10.5" defaultRowHeight="16.5"/>
  <cols>
    <col min="1" max="1" width="10.625" style="5" customWidth="1"/>
    <col min="2" max="4" width="11.5" style="5" customWidth="1"/>
    <col min="5" max="5" width="11.125" style="5" customWidth="1"/>
    <col min="6" max="8" width="11.5" style="5" customWidth="1"/>
    <col min="9" max="9" width="10.5" style="5"/>
    <col min="10" max="10" width="10.375" style="5" customWidth="1"/>
    <col min="11" max="16384" width="10.5" style="5"/>
  </cols>
  <sheetData>
    <row r="1" spans="1:1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6">
      <c r="A2" s="6" t="s">
        <v>440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16">
      <c r="A3" s="9" t="s">
        <v>161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6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6" ht="18" customHeight="1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>
      <c r="A6" s="22" t="s">
        <v>488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23"/>
    </row>
    <row r="7" spans="1:16">
      <c r="A7" s="24" t="s">
        <v>489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</row>
    <row r="8" spans="1:16">
      <c r="B8" s="5" t="s">
        <v>484</v>
      </c>
      <c r="H8" s="5" t="s">
        <v>485</v>
      </c>
    </row>
    <row r="9" spans="1:16">
      <c r="A9" s="5" t="s">
        <v>311</v>
      </c>
      <c r="B9" s="5" t="s">
        <v>450</v>
      </c>
      <c r="E9" s="5">
        <v>50000</v>
      </c>
      <c r="H9" s="5" t="s">
        <v>450</v>
      </c>
      <c r="K9" s="5">
        <v>25000</v>
      </c>
    </row>
    <row r="10" spans="1:16">
      <c r="B10" s="5" t="s">
        <v>273</v>
      </c>
      <c r="C10" s="5" t="s">
        <v>480</v>
      </c>
      <c r="E10" s="5" t="s">
        <v>307</v>
      </c>
      <c r="H10" s="5" t="s">
        <v>273</v>
      </c>
      <c r="I10" s="5" t="s">
        <v>480</v>
      </c>
      <c r="K10" s="5" t="s">
        <v>307</v>
      </c>
    </row>
    <row r="11" spans="1:16">
      <c r="A11" s="5" t="s">
        <v>372</v>
      </c>
      <c r="B11" s="5">
        <v>200000</v>
      </c>
      <c r="F11" s="5">
        <f>+B11*E9</f>
        <v>10000000000</v>
      </c>
      <c r="H11" s="5">
        <v>150000</v>
      </c>
      <c r="L11" s="5">
        <f>+H11*K9</f>
        <v>3750000000</v>
      </c>
    </row>
    <row r="12" spans="1:16">
      <c r="A12" s="5" t="s">
        <v>470</v>
      </c>
      <c r="F12" s="5" t="s">
        <v>483</v>
      </c>
      <c r="L12" s="5" t="s">
        <v>483</v>
      </c>
    </row>
    <row r="13" spans="1:16">
      <c r="A13" s="5" t="s">
        <v>476</v>
      </c>
      <c r="B13" s="5">
        <v>7500</v>
      </c>
      <c r="C13" s="5">
        <v>8000</v>
      </c>
      <c r="D13" s="5" t="s">
        <v>481</v>
      </c>
      <c r="E13" s="5">
        <f>+B13*C13</f>
        <v>60000000</v>
      </c>
      <c r="F13" s="109">
        <f>+E13/$F$11</f>
        <v>6.0000000000000001E-3</v>
      </c>
      <c r="H13" s="5">
        <v>7500</v>
      </c>
      <c r="I13" s="5">
        <v>1000</v>
      </c>
      <c r="J13" s="5" t="s">
        <v>481</v>
      </c>
      <c r="K13" s="5">
        <f>+H13*I13</f>
        <v>7500000</v>
      </c>
      <c r="L13" s="107">
        <f>+K13/$L$11</f>
        <v>2E-3</v>
      </c>
    </row>
    <row r="14" spans="1:16">
      <c r="A14" s="5" t="s">
        <v>471</v>
      </c>
      <c r="L14" s="134"/>
    </row>
    <row r="15" spans="1:16">
      <c r="A15" s="5" t="s">
        <v>477</v>
      </c>
      <c r="B15" s="5">
        <v>4000</v>
      </c>
      <c r="C15" s="5">
        <v>1</v>
      </c>
      <c r="D15" s="5" t="s">
        <v>482</v>
      </c>
      <c r="E15" s="5">
        <f>+B15*C15*E9</f>
        <v>200000000</v>
      </c>
      <c r="F15" s="109">
        <f>+E15/$F$11</f>
        <v>0.02</v>
      </c>
      <c r="H15" s="5">
        <v>4000</v>
      </c>
      <c r="I15" s="132">
        <v>0.25</v>
      </c>
      <c r="J15" s="5" t="s">
        <v>482</v>
      </c>
      <c r="K15" s="5">
        <f>+H15*I15*K9</f>
        <v>25000000</v>
      </c>
      <c r="L15" s="107">
        <f>+K15/$L$11</f>
        <v>6.6666666666666671E-3</v>
      </c>
    </row>
    <row r="16" spans="1:16">
      <c r="A16" s="5" t="s">
        <v>472</v>
      </c>
      <c r="L16" s="134"/>
    </row>
    <row r="17" spans="1:12">
      <c r="A17" s="5" t="s">
        <v>478</v>
      </c>
      <c r="B17" s="5">
        <v>50000</v>
      </c>
      <c r="C17" s="104">
        <v>0.05</v>
      </c>
      <c r="E17" s="5">
        <f>+B17*C17*$E$9</f>
        <v>125000000</v>
      </c>
      <c r="F17" s="109">
        <f>+E17/$F$11</f>
        <v>1.2500000000000001E-2</v>
      </c>
      <c r="H17" s="5">
        <v>40000</v>
      </c>
      <c r="I17" s="104">
        <v>0.1</v>
      </c>
      <c r="K17" s="5">
        <f>+H17*I17*K9</f>
        <v>100000000</v>
      </c>
      <c r="L17" s="107">
        <f>+K17/$L$11</f>
        <v>2.6666666666666668E-2</v>
      </c>
    </row>
    <row r="18" spans="1:12">
      <c r="A18" s="5" t="s">
        <v>473</v>
      </c>
      <c r="L18" s="134"/>
    </row>
    <row r="19" spans="1:12">
      <c r="A19" s="5" t="s">
        <v>479</v>
      </c>
      <c r="B19" s="5">
        <v>60000</v>
      </c>
      <c r="C19" s="104">
        <v>0.04</v>
      </c>
      <c r="E19" s="5">
        <f>+B19*C19*$E$9</f>
        <v>120000000</v>
      </c>
      <c r="F19" s="109">
        <f>+E19/$F$11</f>
        <v>1.2E-2</v>
      </c>
      <c r="H19" s="5">
        <v>45000</v>
      </c>
      <c r="I19" s="104">
        <v>0.08</v>
      </c>
      <c r="K19" s="5">
        <f>+H19*I19*K9</f>
        <v>90000000</v>
      </c>
      <c r="L19" s="107">
        <f>+K19/$L$11</f>
        <v>2.4E-2</v>
      </c>
    </row>
    <row r="20" spans="1:12">
      <c r="A20" s="5" t="s">
        <v>486</v>
      </c>
      <c r="C20" s="104"/>
      <c r="F20" s="109"/>
      <c r="H20" s="5">
        <f>150000-80000</f>
        <v>70000</v>
      </c>
      <c r="I20" s="133">
        <v>1500</v>
      </c>
      <c r="J20" s="5" t="s">
        <v>487</v>
      </c>
      <c r="K20" s="5">
        <f>+H20*I20</f>
        <v>105000000</v>
      </c>
      <c r="L20" s="107">
        <f>+K20/$L$11</f>
        <v>2.8000000000000001E-2</v>
      </c>
    </row>
    <row r="21" spans="1:12" ht="17.25" thickBot="1">
      <c r="E21" s="78">
        <f>+SUM(E13:E19)</f>
        <v>505000000</v>
      </c>
      <c r="F21" s="109">
        <f>+E21/$F$11</f>
        <v>5.0500000000000003E-2</v>
      </c>
      <c r="K21" s="78">
        <f>+SUM(K13:K20)</f>
        <v>327500000</v>
      </c>
      <c r="L21" s="107">
        <f>+K21/$L$11</f>
        <v>8.7333333333333332E-2</v>
      </c>
    </row>
    <row r="22" spans="1:12" ht="17.25" thickTop="1"/>
    <row r="23" spans="1:12">
      <c r="A23" s="5" t="s">
        <v>235</v>
      </c>
      <c r="B23" s="5" t="s">
        <v>455</v>
      </c>
    </row>
  </sheetData>
  <phoneticPr fontId="1"/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78"/>
  <sheetViews>
    <sheetView showGridLines="0" topLeftCell="A21" workbookViewId="0"/>
  </sheetViews>
  <sheetFormatPr defaultColWidth="10.5" defaultRowHeight="16.5"/>
  <cols>
    <col min="1" max="1" width="10.625" style="5" customWidth="1"/>
    <col min="2" max="2" width="11.5" style="5" customWidth="1"/>
    <col min="3" max="3" width="10.5" style="5"/>
    <col min="4" max="4" width="11.5" style="5" customWidth="1"/>
    <col min="5" max="7" width="10.5" style="5"/>
    <col min="8" max="8" width="11" style="5" customWidth="1"/>
    <col min="9" max="16384" width="10.5" style="5"/>
  </cols>
  <sheetData>
    <row r="1" spans="1:2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>
      <c r="A2" s="6" t="s">
        <v>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</row>
    <row r="4" spans="1:20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20">
      <c r="A6" s="22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3"/>
    </row>
    <row r="7" spans="1:20">
      <c r="A7" s="24" t="s">
        <v>73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9" spans="1:20">
      <c r="C9" s="5" t="s">
        <v>17</v>
      </c>
      <c r="D9" s="5" t="s">
        <v>18</v>
      </c>
      <c r="H9" s="5" t="s">
        <v>31</v>
      </c>
    </row>
    <row r="10" spans="1:20">
      <c r="B10" s="5" t="s">
        <v>3</v>
      </c>
      <c r="C10" s="5">
        <v>50000</v>
      </c>
      <c r="D10" s="5">
        <v>50000</v>
      </c>
      <c r="F10" s="5" t="s">
        <v>40</v>
      </c>
    </row>
    <row r="11" spans="1:20">
      <c r="B11" s="5" t="s">
        <v>19</v>
      </c>
      <c r="C11" s="5">
        <v>2000</v>
      </c>
      <c r="D11" s="5">
        <v>1000</v>
      </c>
      <c r="F11" s="28">
        <f>+(C10-C16)/5</f>
        <v>9000</v>
      </c>
      <c r="I11" s="31"/>
      <c r="J11" s="31"/>
      <c r="K11" s="31"/>
      <c r="L11" s="31"/>
      <c r="M11" s="31"/>
    </row>
    <row r="12" spans="1:20">
      <c r="B12" s="5" t="s">
        <v>20</v>
      </c>
      <c r="C12" s="5">
        <v>2000</v>
      </c>
      <c r="D12" s="5">
        <v>1000</v>
      </c>
      <c r="H12" s="5">
        <v>50000</v>
      </c>
      <c r="I12" s="143"/>
      <c r="J12" s="144"/>
      <c r="K12" s="144"/>
      <c r="L12" s="144"/>
      <c r="M12" s="145"/>
    </row>
    <row r="13" spans="1:20">
      <c r="B13" s="5" t="s">
        <v>21</v>
      </c>
      <c r="C13" s="5">
        <v>2000</v>
      </c>
      <c r="D13" s="5">
        <v>3000</v>
      </c>
      <c r="I13" s="146"/>
      <c r="J13" s="147"/>
      <c r="K13" s="147"/>
      <c r="L13" s="147"/>
      <c r="M13" s="148"/>
    </row>
    <row r="14" spans="1:20">
      <c r="B14" s="5" t="s">
        <v>22</v>
      </c>
      <c r="C14" s="5">
        <v>2000</v>
      </c>
      <c r="D14" s="5">
        <v>4000</v>
      </c>
      <c r="I14" s="146"/>
      <c r="J14" s="147"/>
      <c r="K14" s="147"/>
      <c r="L14" s="147"/>
      <c r="M14" s="148"/>
      <c r="O14" s="5" t="s">
        <v>33</v>
      </c>
    </row>
    <row r="15" spans="1:20">
      <c r="B15" s="5" t="s">
        <v>23</v>
      </c>
      <c r="C15" s="5">
        <v>2000</v>
      </c>
      <c r="D15" s="5">
        <v>4000</v>
      </c>
      <c r="I15" s="146"/>
      <c r="J15" s="147"/>
      <c r="K15" s="147"/>
      <c r="L15" s="147"/>
      <c r="M15" s="148"/>
    </row>
    <row r="16" spans="1:20">
      <c r="B16" s="5" t="s">
        <v>24</v>
      </c>
      <c r="C16" s="5">
        <v>5000</v>
      </c>
      <c r="D16" s="5">
        <v>5000</v>
      </c>
      <c r="I16" s="149"/>
      <c r="J16" s="150"/>
      <c r="K16" s="150"/>
      <c r="L16" s="150"/>
      <c r="M16" s="151"/>
    </row>
    <row r="17" spans="1:14">
      <c r="I17" s="32"/>
      <c r="J17" s="33"/>
      <c r="K17" s="33"/>
      <c r="L17" s="33"/>
      <c r="M17" s="34"/>
      <c r="N17" s="35">
        <v>5000</v>
      </c>
    </row>
    <row r="18" spans="1:14">
      <c r="I18" s="5" t="s">
        <v>34</v>
      </c>
    </row>
    <row r="19" spans="1:14">
      <c r="A19" s="5" t="s">
        <v>25</v>
      </c>
      <c r="I19" s="5" t="s">
        <v>35</v>
      </c>
    </row>
    <row r="20" spans="1:14">
      <c r="J20" s="5" t="s">
        <v>36</v>
      </c>
    </row>
    <row r="21" spans="1:14">
      <c r="B21" s="5" t="s">
        <v>26</v>
      </c>
      <c r="C21" s="5">
        <f>+AVERAGE(C11:C15)</f>
        <v>2000</v>
      </c>
      <c r="D21" s="5">
        <f>+AVERAGE(D11:D15)</f>
        <v>2600</v>
      </c>
    </row>
    <row r="22" spans="1:14" ht="17.25" thickBot="1">
      <c r="B22" s="5" t="s">
        <v>27</v>
      </c>
      <c r="C22" s="27">
        <f>+(C10+C16)/2</f>
        <v>27500</v>
      </c>
      <c r="D22" s="27">
        <f>+(D10+D16)/2</f>
        <v>27500</v>
      </c>
      <c r="E22" s="5" t="s">
        <v>28</v>
      </c>
    </row>
    <row r="23" spans="1:14" ht="17.25" thickBot="1">
      <c r="B23" s="5" t="s">
        <v>44</v>
      </c>
      <c r="C23" s="36">
        <f>+C21/C22</f>
        <v>7.2727272727272724E-2</v>
      </c>
      <c r="D23" s="37">
        <f>+D21/D22</f>
        <v>9.4545454545454544E-2</v>
      </c>
      <c r="E23" s="5" t="s">
        <v>29</v>
      </c>
      <c r="F23" s="5" t="s">
        <v>32</v>
      </c>
    </row>
    <row r="25" spans="1:14">
      <c r="A25" s="5" t="s">
        <v>37</v>
      </c>
    </row>
    <row r="26" spans="1:14">
      <c r="B26" s="5" t="s">
        <v>38</v>
      </c>
    </row>
    <row r="27" spans="1:14">
      <c r="B27" s="5" t="s">
        <v>39</v>
      </c>
    </row>
    <row r="28" spans="1:14">
      <c r="B28" s="5" t="s">
        <v>41</v>
      </c>
    </row>
    <row r="29" spans="1:14">
      <c r="H29" s="43" t="s">
        <v>62</v>
      </c>
      <c r="I29" s="43"/>
    </row>
    <row r="30" spans="1:14">
      <c r="B30" s="5" t="s">
        <v>42</v>
      </c>
      <c r="C30" s="5" t="s">
        <v>17</v>
      </c>
      <c r="D30" s="5" t="s">
        <v>18</v>
      </c>
      <c r="H30" s="43"/>
      <c r="I30" s="43"/>
    </row>
    <row r="31" spans="1:14">
      <c r="B31" s="5" t="s">
        <v>63</v>
      </c>
      <c r="C31" s="5">
        <f>-C10</f>
        <v>-50000</v>
      </c>
      <c r="D31" s="5">
        <f>-D10</f>
        <v>-50000</v>
      </c>
      <c r="H31" s="43">
        <f>+C31</f>
        <v>-50000</v>
      </c>
      <c r="I31" s="43">
        <f>+D31</f>
        <v>-50000</v>
      </c>
    </row>
    <row r="32" spans="1:14">
      <c r="B32" s="5" t="s">
        <v>19</v>
      </c>
      <c r="C32" s="5">
        <f t="shared" ref="C32:D36" si="0">+C11+$F$11</f>
        <v>11000</v>
      </c>
      <c r="D32" s="5">
        <f t="shared" si="0"/>
        <v>10000</v>
      </c>
      <c r="E32" s="152" t="s">
        <v>45</v>
      </c>
      <c r="H32" s="43">
        <f t="shared" ref="H32:I35" si="1">+C32</f>
        <v>11000</v>
      </c>
      <c r="I32" s="43">
        <f t="shared" si="1"/>
        <v>10000</v>
      </c>
    </row>
    <row r="33" spans="1:9">
      <c r="B33" s="5" t="s">
        <v>20</v>
      </c>
      <c r="C33" s="5">
        <f t="shared" si="0"/>
        <v>11000</v>
      </c>
      <c r="D33" s="5">
        <f t="shared" si="0"/>
        <v>10000</v>
      </c>
      <c r="E33" s="153"/>
      <c r="H33" s="43">
        <f t="shared" si="1"/>
        <v>11000</v>
      </c>
      <c r="I33" s="43">
        <f t="shared" si="1"/>
        <v>10000</v>
      </c>
    </row>
    <row r="34" spans="1:9">
      <c r="B34" s="5" t="s">
        <v>21</v>
      </c>
      <c r="C34" s="5">
        <f t="shared" si="0"/>
        <v>11000</v>
      </c>
      <c r="D34" s="5">
        <f t="shared" si="0"/>
        <v>12000</v>
      </c>
      <c r="E34" s="153"/>
      <c r="H34" s="43">
        <f t="shared" si="1"/>
        <v>11000</v>
      </c>
      <c r="I34" s="43">
        <f t="shared" si="1"/>
        <v>12000</v>
      </c>
    </row>
    <row r="35" spans="1:9">
      <c r="B35" s="5" t="s">
        <v>22</v>
      </c>
      <c r="C35" s="5">
        <f t="shared" si="0"/>
        <v>11000</v>
      </c>
      <c r="D35" s="5">
        <f t="shared" si="0"/>
        <v>13000</v>
      </c>
      <c r="E35" s="154"/>
      <c r="H35" s="43">
        <f t="shared" si="1"/>
        <v>11000</v>
      </c>
      <c r="I35" s="43">
        <f t="shared" si="1"/>
        <v>13000</v>
      </c>
    </row>
    <row r="36" spans="1:9">
      <c r="B36" s="5" t="s">
        <v>23</v>
      </c>
      <c r="C36" s="5">
        <f t="shared" si="0"/>
        <v>11000</v>
      </c>
      <c r="D36" s="5">
        <f t="shared" si="0"/>
        <v>13000</v>
      </c>
      <c r="E36" s="5" t="s">
        <v>46</v>
      </c>
      <c r="H36" s="43">
        <f>+C36+5000</f>
        <v>16000</v>
      </c>
      <c r="I36" s="43">
        <f>+D36+5000</f>
        <v>18000</v>
      </c>
    </row>
    <row r="37" spans="1:9" ht="17.25" thickBot="1"/>
    <row r="38" spans="1:9" ht="17.25" thickBot="1">
      <c r="B38" s="5" t="s">
        <v>43</v>
      </c>
      <c r="C38" s="38">
        <f>+C10/C36</f>
        <v>4.5454545454545459</v>
      </c>
      <c r="D38" s="39">
        <f>+(D10-SUM(D32:D35))/D36+4</f>
        <v>4.384615384615385</v>
      </c>
    </row>
    <row r="40" spans="1:9">
      <c r="A40" s="1" t="s">
        <v>47</v>
      </c>
    </row>
    <row r="43" spans="1:9">
      <c r="B43" s="5" t="s">
        <v>17</v>
      </c>
      <c r="C43" s="5" t="s">
        <v>48</v>
      </c>
      <c r="D43" s="5" t="s">
        <v>49</v>
      </c>
      <c r="E43" s="5" t="s">
        <v>30</v>
      </c>
      <c r="F43" s="5" t="s">
        <v>21</v>
      </c>
      <c r="G43" s="5" t="s">
        <v>22</v>
      </c>
      <c r="H43" s="5" t="s">
        <v>23</v>
      </c>
    </row>
    <row r="45" spans="1:9">
      <c r="B45" s="5" t="s">
        <v>52</v>
      </c>
      <c r="C45" s="12">
        <f>-C10</f>
        <v>-50000</v>
      </c>
      <c r="D45" s="18"/>
      <c r="E45" s="18"/>
      <c r="F45" s="18"/>
      <c r="G45" s="18"/>
      <c r="H45" s="18"/>
    </row>
    <row r="46" spans="1:9">
      <c r="B46" s="5" t="s">
        <v>50</v>
      </c>
      <c r="D46" s="40">
        <f>+C32</f>
        <v>11000</v>
      </c>
      <c r="E46" s="40">
        <f>+C33</f>
        <v>11000</v>
      </c>
      <c r="F46" s="40">
        <f>+C34</f>
        <v>11000</v>
      </c>
      <c r="G46" s="40">
        <f>+C35</f>
        <v>11000</v>
      </c>
      <c r="H46" s="40">
        <f>+C36</f>
        <v>11000</v>
      </c>
    </row>
    <row r="47" spans="1:9">
      <c r="B47" s="5" t="s">
        <v>54</v>
      </c>
      <c r="H47" s="5">
        <v>5000</v>
      </c>
    </row>
    <row r="48" spans="1:9">
      <c r="B48" s="5" t="s">
        <v>51</v>
      </c>
      <c r="D48" s="30">
        <v>0.95240000000000002</v>
      </c>
      <c r="E48" s="30">
        <v>0.90700000000000003</v>
      </c>
      <c r="F48" s="30">
        <v>0.86380000000000001</v>
      </c>
      <c r="G48" s="30">
        <v>0.82269999999999999</v>
      </c>
      <c r="H48" s="30">
        <v>0.78349999999999997</v>
      </c>
      <c r="I48" s="41">
        <f>+SUM(D48:H48)</f>
        <v>4.3293999999999997</v>
      </c>
    </row>
    <row r="49" spans="2:11">
      <c r="B49" s="5" t="s">
        <v>53</v>
      </c>
      <c r="C49" s="5">
        <f>+D46*I48</f>
        <v>47623.399999999994</v>
      </c>
    </row>
    <row r="50" spans="2:11">
      <c r="B50" s="5" t="s">
        <v>55</v>
      </c>
      <c r="C50" s="5">
        <f>+H47*H48</f>
        <v>3917.5</v>
      </c>
    </row>
    <row r="51" spans="2:11" ht="17.25" thickBot="1">
      <c r="B51" s="5" t="s">
        <v>56</v>
      </c>
      <c r="C51" s="17">
        <f>+SUM(C45:C50)</f>
        <v>1540.8999999999942</v>
      </c>
    </row>
    <row r="52" spans="2:11" ht="17.25" thickTop="1"/>
    <row r="55" spans="2:11">
      <c r="B55" s="5" t="s">
        <v>18</v>
      </c>
      <c r="C55" s="5" t="s">
        <v>48</v>
      </c>
      <c r="D55" s="5" t="s">
        <v>49</v>
      </c>
      <c r="E55" s="5" t="s">
        <v>30</v>
      </c>
      <c r="F55" s="5" t="s">
        <v>21</v>
      </c>
      <c r="G55" s="5" t="s">
        <v>22</v>
      </c>
      <c r="H55" s="5" t="s">
        <v>23</v>
      </c>
    </row>
    <row r="57" spans="2:11">
      <c r="B57" s="5" t="s">
        <v>52</v>
      </c>
      <c r="C57" s="12">
        <f>-D10</f>
        <v>-50000</v>
      </c>
      <c r="D57" s="18"/>
      <c r="E57" s="18"/>
      <c r="F57" s="18"/>
      <c r="G57" s="18"/>
      <c r="H57" s="18"/>
    </row>
    <row r="58" spans="2:11">
      <c r="B58" s="5" t="s">
        <v>50</v>
      </c>
      <c r="D58" s="40">
        <f>+D32</f>
        <v>10000</v>
      </c>
      <c r="E58" s="40">
        <f>+D33</f>
        <v>10000</v>
      </c>
      <c r="F58" s="40">
        <f>+D34</f>
        <v>12000</v>
      </c>
      <c r="G58" s="40">
        <f>+D35</f>
        <v>13000</v>
      </c>
      <c r="H58" s="40">
        <f>+D36</f>
        <v>13000</v>
      </c>
    </row>
    <row r="59" spans="2:11">
      <c r="B59" s="5" t="s">
        <v>54</v>
      </c>
      <c r="H59" s="5">
        <v>5000</v>
      </c>
    </row>
    <row r="60" spans="2:11">
      <c r="B60" s="5" t="s">
        <v>51</v>
      </c>
      <c r="D60" s="30">
        <v>0.95240000000000002</v>
      </c>
      <c r="E60" s="30">
        <v>0.90700000000000003</v>
      </c>
      <c r="F60" s="30">
        <v>0.86380000000000001</v>
      </c>
      <c r="G60" s="30">
        <v>0.82269999999999999</v>
      </c>
      <c r="H60" s="30">
        <v>0.78349999999999997</v>
      </c>
      <c r="I60" s="41"/>
    </row>
    <row r="61" spans="2:11">
      <c r="B61" s="5" t="s">
        <v>53</v>
      </c>
      <c r="C61" s="5">
        <f>+SUM(D61:H61)</f>
        <v>49840.2</v>
      </c>
      <c r="D61" s="42">
        <f>+D58*D60</f>
        <v>9524</v>
      </c>
      <c r="E61" s="42">
        <f t="shared" ref="E61:H61" si="2">+E58*E60</f>
        <v>9070</v>
      </c>
      <c r="F61" s="42">
        <f t="shared" si="2"/>
        <v>10365.6</v>
      </c>
      <c r="G61" s="42">
        <f t="shared" si="2"/>
        <v>10695.1</v>
      </c>
      <c r="H61" s="42">
        <f t="shared" si="2"/>
        <v>10185.5</v>
      </c>
    </row>
    <row r="62" spans="2:11">
      <c r="B62" s="5" t="s">
        <v>55</v>
      </c>
      <c r="C62" s="5">
        <f>+H59*H60</f>
        <v>3917.5</v>
      </c>
    </row>
    <row r="63" spans="2:11" ht="17.25" thickBot="1">
      <c r="B63" s="5" t="s">
        <v>56</v>
      </c>
      <c r="C63" s="17">
        <f>+SUM(C57:C62)</f>
        <v>3757.6999999999971</v>
      </c>
    </row>
    <row r="64" spans="2:11" ht="17.25" thickTop="1">
      <c r="K64" s="5" t="s">
        <v>59</v>
      </c>
    </row>
    <row r="65" spans="1:12" ht="18.75">
      <c r="K65" s="5" t="s">
        <v>57</v>
      </c>
      <c r="L65" s="29" t="s">
        <v>58</v>
      </c>
    </row>
    <row r="66" spans="1:12" ht="18.75">
      <c r="A66" s="5" t="s">
        <v>68</v>
      </c>
      <c r="L66" s="29"/>
    </row>
    <row r="67" spans="1:12" ht="19.5" thickBot="1">
      <c r="C67" s="5" t="s">
        <v>17</v>
      </c>
      <c r="D67" s="5" t="s">
        <v>18</v>
      </c>
      <c r="L67" s="29"/>
    </row>
    <row r="68" spans="1:12" ht="19.5" thickBot="1">
      <c r="B68" s="5" t="s">
        <v>69</v>
      </c>
      <c r="C68" s="45">
        <f>+SUM(C49:C50)/C10</f>
        <v>1.0308179999999998</v>
      </c>
      <c r="D68" s="47">
        <f>+SUM(C61:C62)/D10</f>
        <v>1.0751539999999999</v>
      </c>
      <c r="E68" s="5" t="s">
        <v>70</v>
      </c>
      <c r="L68" s="29"/>
    </row>
    <row r="69" spans="1:12" ht="18.75">
      <c r="E69" s="5" t="s">
        <v>71</v>
      </c>
      <c r="L69" s="29"/>
    </row>
    <row r="70" spans="1:12" ht="18.75">
      <c r="L70" s="29"/>
    </row>
    <row r="71" spans="1:12" ht="18.75">
      <c r="L71" s="29"/>
    </row>
    <row r="72" spans="1:12">
      <c r="A72" s="5" t="s">
        <v>67</v>
      </c>
    </row>
    <row r="73" spans="1:12">
      <c r="B73" s="5" t="s">
        <v>60</v>
      </c>
    </row>
    <row r="74" spans="1:12">
      <c r="B74" s="5" t="s">
        <v>61</v>
      </c>
    </row>
    <row r="76" spans="1:12" ht="17.25" thickBot="1">
      <c r="C76" s="5" t="s">
        <v>17</v>
      </c>
      <c r="D76" s="5" t="s">
        <v>18</v>
      </c>
    </row>
    <row r="77" spans="1:12" ht="17.25" thickBot="1">
      <c r="B77" s="5" t="s">
        <v>64</v>
      </c>
      <c r="C77" s="36">
        <f>+IRR(H31:H36)</f>
        <v>6.0503728192891737E-2</v>
      </c>
      <c r="D77" s="37">
        <f>+IRR(I31:I36)</f>
        <v>7.4233035727291785E-2</v>
      </c>
      <c r="G77" s="5" t="s">
        <v>65</v>
      </c>
    </row>
    <row r="78" spans="1:12" ht="18.75">
      <c r="G78" s="29" t="s">
        <v>66</v>
      </c>
    </row>
  </sheetData>
  <mergeCells count="2">
    <mergeCell ref="I12:M16"/>
    <mergeCell ref="E32:E35"/>
  </mergeCells>
  <phoneticPr fontId="1"/>
  <hyperlinks>
    <hyperlink ref="L65" r:id="rId1" xr:uid="{00000000-0004-0000-0100-000000000000}"/>
    <hyperlink ref="G78" r:id="rId2" xr:uid="{00000000-0004-0000-0100-000001000000}"/>
  </hyperlinks>
  <pageMargins left="0.25" right="0.25" top="0.75" bottom="0.75" header="0.3" footer="0.3"/>
  <pageSetup paperSize="9" scale="65" orientation="landscape" r:id="rId3"/>
  <drawing r:id="rId4"/>
  <legacyDrawing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P30"/>
  <sheetViews>
    <sheetView zoomScaleNormal="100" workbookViewId="0"/>
  </sheetViews>
  <sheetFormatPr defaultColWidth="10.5" defaultRowHeight="16.5"/>
  <cols>
    <col min="1" max="1" width="10.625" style="5" customWidth="1"/>
    <col min="2" max="4" width="11.5" style="5" customWidth="1"/>
    <col min="5" max="5" width="11.125" style="5" customWidth="1"/>
    <col min="6" max="8" width="11.5" style="5" customWidth="1"/>
    <col min="9" max="9" width="10.5" style="5"/>
    <col min="10" max="10" width="10.375" style="5" customWidth="1"/>
    <col min="11" max="16384" width="10.5" style="5"/>
  </cols>
  <sheetData>
    <row r="1" spans="1:1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6">
      <c r="A2" s="6" t="s">
        <v>440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16">
      <c r="A3" s="9" t="s">
        <v>198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6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6" ht="18" customHeight="1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>
      <c r="A6" s="22" t="s">
        <v>490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23"/>
    </row>
    <row r="7" spans="1:16">
      <c r="A7" s="24" t="s">
        <v>513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</row>
    <row r="9" spans="1:16">
      <c r="C9" s="5" t="s">
        <v>491</v>
      </c>
      <c r="D9" s="5" t="s">
        <v>492</v>
      </c>
      <c r="E9" s="5" t="s">
        <v>493</v>
      </c>
    </row>
    <row r="11" spans="1:16">
      <c r="A11" s="5" t="s">
        <v>496</v>
      </c>
      <c r="C11" s="5">
        <v>1000000</v>
      </c>
      <c r="D11" s="5">
        <v>1100000</v>
      </c>
      <c r="E11" s="5">
        <v>1400000</v>
      </c>
    </row>
    <row r="12" spans="1:16">
      <c r="A12" s="5" t="s">
        <v>497</v>
      </c>
      <c r="C12" s="5">
        <v>100000</v>
      </c>
      <c r="D12" s="5">
        <v>110000</v>
      </c>
      <c r="E12" s="5">
        <v>130000</v>
      </c>
    </row>
    <row r="13" spans="1:16">
      <c r="A13" s="5" t="s">
        <v>498</v>
      </c>
      <c r="C13" s="5">
        <v>5000000</v>
      </c>
      <c r="D13" s="5">
        <v>4000000</v>
      </c>
      <c r="E13" s="5">
        <v>2500000</v>
      </c>
    </row>
    <row r="14" spans="1:16">
      <c r="A14" s="5" t="s">
        <v>499</v>
      </c>
      <c r="C14" s="5">
        <v>1200000</v>
      </c>
      <c r="D14" s="5">
        <v>1320000</v>
      </c>
      <c r="E14" s="5">
        <v>1140000</v>
      </c>
    </row>
    <row r="15" spans="1:16">
      <c r="A15" s="5" t="s">
        <v>500</v>
      </c>
      <c r="C15" s="5">
        <v>1500000</v>
      </c>
      <c r="D15" s="5">
        <v>1200000</v>
      </c>
      <c r="E15" s="5">
        <v>1000000</v>
      </c>
    </row>
    <row r="16" spans="1:16">
      <c r="A16" s="5" t="s">
        <v>501</v>
      </c>
      <c r="C16" s="5">
        <v>1500000</v>
      </c>
      <c r="D16" s="5">
        <v>1200000</v>
      </c>
      <c r="E16" s="5">
        <v>1300000</v>
      </c>
    </row>
    <row r="18" spans="1:15">
      <c r="B18" s="5" t="s">
        <v>509</v>
      </c>
      <c r="G18" s="5" t="s">
        <v>510</v>
      </c>
      <c r="L18" s="5" t="s">
        <v>511</v>
      </c>
    </row>
    <row r="19" spans="1:15">
      <c r="C19" s="5" t="s">
        <v>494</v>
      </c>
      <c r="D19" s="5" t="s">
        <v>30</v>
      </c>
      <c r="E19" s="5" t="s">
        <v>495</v>
      </c>
      <c r="H19" s="5" t="s">
        <v>494</v>
      </c>
      <c r="I19" s="5" t="s">
        <v>30</v>
      </c>
      <c r="J19" s="5" t="s">
        <v>495</v>
      </c>
      <c r="M19" s="5" t="s">
        <v>494</v>
      </c>
      <c r="N19" s="5" t="s">
        <v>30</v>
      </c>
      <c r="O19" s="5" t="s">
        <v>495</v>
      </c>
    </row>
    <row r="20" spans="1:15">
      <c r="A20" s="16" t="s">
        <v>502</v>
      </c>
      <c r="B20" s="82">
        <f>+C11+C12*100+C13</f>
        <v>16000000</v>
      </c>
      <c r="C20" s="51"/>
      <c r="D20" s="51"/>
      <c r="E20" s="40"/>
      <c r="G20" s="82">
        <f>+D11+D12*100+D13</f>
        <v>16100000</v>
      </c>
      <c r="H20" s="51"/>
      <c r="I20" s="51"/>
      <c r="J20" s="40"/>
      <c r="L20" s="82">
        <f>+E11+E12*100+E13</f>
        <v>16900000</v>
      </c>
      <c r="M20" s="51"/>
      <c r="N20" s="51"/>
      <c r="O20" s="40"/>
    </row>
    <row r="21" spans="1:15">
      <c r="A21" s="16" t="s">
        <v>503</v>
      </c>
      <c r="B21" s="82"/>
      <c r="C21" s="51">
        <f>+$C$14</f>
        <v>1200000</v>
      </c>
      <c r="D21" s="51">
        <f>+$C$14</f>
        <v>1200000</v>
      </c>
      <c r="E21" s="51">
        <f>+$C$14</f>
        <v>1200000</v>
      </c>
      <c r="G21" s="82"/>
      <c r="H21" s="51">
        <f>+$D$14</f>
        <v>1320000</v>
      </c>
      <c r="I21" s="51">
        <f>+$D$14</f>
        <v>1320000</v>
      </c>
      <c r="J21" s="51">
        <f>+$D$14</f>
        <v>1320000</v>
      </c>
      <c r="L21" s="82"/>
      <c r="M21" s="51">
        <f>+$E$14</f>
        <v>1140000</v>
      </c>
      <c r="N21" s="51">
        <f>+$E$14</f>
        <v>1140000</v>
      </c>
      <c r="O21" s="51">
        <f>+$E$14</f>
        <v>1140000</v>
      </c>
    </row>
    <row r="22" spans="1:15">
      <c r="A22" s="16" t="s">
        <v>504</v>
      </c>
      <c r="B22" s="82"/>
      <c r="C22" s="51">
        <f>+$C$15</f>
        <v>1500000</v>
      </c>
      <c r="D22" s="51">
        <f>+$C$15</f>
        <v>1500000</v>
      </c>
      <c r="E22" s="40"/>
      <c r="G22" s="82"/>
      <c r="H22" s="51">
        <f>+$D$15</f>
        <v>1200000</v>
      </c>
      <c r="I22" s="51">
        <f>+$D$15</f>
        <v>1200000</v>
      </c>
      <c r="J22" s="40"/>
      <c r="L22" s="82"/>
      <c r="M22" s="51">
        <f>+$E$15</f>
        <v>1000000</v>
      </c>
      <c r="N22" s="51">
        <f>+$E$15</f>
        <v>1000000</v>
      </c>
      <c r="O22" s="40"/>
    </row>
    <row r="23" spans="1:15">
      <c r="A23" s="16" t="s">
        <v>505</v>
      </c>
      <c r="B23" s="82"/>
      <c r="C23" s="51"/>
      <c r="D23" s="51"/>
      <c r="E23" s="40">
        <f>+C16</f>
        <v>1500000</v>
      </c>
      <c r="G23" s="82"/>
      <c r="H23" s="51"/>
      <c r="I23" s="51"/>
      <c r="J23" s="40">
        <f>+D16</f>
        <v>1200000</v>
      </c>
      <c r="L23" s="82"/>
      <c r="M23" s="51"/>
      <c r="N23" s="51"/>
      <c r="O23" s="40">
        <f>+E16</f>
        <v>1300000</v>
      </c>
    </row>
    <row r="24" spans="1:15" ht="17.25" thickBot="1">
      <c r="A24" s="16" t="s">
        <v>50</v>
      </c>
      <c r="B24" s="54"/>
      <c r="C24" s="75"/>
      <c r="D24" s="75"/>
      <c r="E24" s="75"/>
      <c r="G24" s="54"/>
      <c r="H24" s="75"/>
      <c r="I24" s="75"/>
      <c r="J24" s="75"/>
      <c r="L24" s="54"/>
      <c r="M24" s="75"/>
      <c r="N24" s="75"/>
      <c r="O24" s="75"/>
    </row>
    <row r="25" spans="1:15" ht="17.25" thickBot="1">
      <c r="A25" s="16" t="s">
        <v>506</v>
      </c>
      <c r="B25" s="13">
        <f>+SUM(B20:E23)</f>
        <v>24100000</v>
      </c>
      <c r="C25" s="16"/>
      <c r="D25" s="16"/>
      <c r="G25" s="13">
        <f>+SUM(G20:J23)</f>
        <v>23660000</v>
      </c>
      <c r="H25" s="16"/>
      <c r="I25" s="16"/>
      <c r="L25" s="13">
        <f>+SUM(L20:O23)</f>
        <v>23620000</v>
      </c>
      <c r="M25" s="16" t="s">
        <v>512</v>
      </c>
      <c r="N25" s="16"/>
    </row>
    <row r="26" spans="1:15">
      <c r="A26" s="16"/>
      <c r="B26" s="16"/>
      <c r="C26" s="16"/>
      <c r="D26" s="16"/>
      <c r="G26" s="16"/>
      <c r="H26" s="16"/>
      <c r="I26" s="16"/>
      <c r="L26" s="16"/>
      <c r="M26" s="16"/>
      <c r="N26" s="16"/>
    </row>
    <row r="27" spans="1:15">
      <c r="A27" s="16" t="s">
        <v>507</v>
      </c>
      <c r="B27" s="16"/>
      <c r="C27" s="16"/>
      <c r="D27" s="16"/>
      <c r="G27" s="16"/>
      <c r="H27" s="16"/>
      <c r="I27" s="16"/>
      <c r="L27" s="16"/>
      <c r="M27" s="16"/>
      <c r="N27" s="16"/>
    </row>
    <row r="28" spans="1:15">
      <c r="A28" s="16" t="s">
        <v>51</v>
      </c>
      <c r="B28" s="16"/>
      <c r="C28" s="135">
        <v>0.96150000000000002</v>
      </c>
      <c r="D28" s="135">
        <v>0.92459999999999998</v>
      </c>
      <c r="E28" s="135">
        <v>0.88900000000000001</v>
      </c>
      <c r="G28" s="16"/>
      <c r="H28" s="135">
        <v>0.96150000000000002</v>
      </c>
      <c r="I28" s="135">
        <v>0.92459999999999998</v>
      </c>
      <c r="J28" s="135">
        <v>0.88900000000000001</v>
      </c>
      <c r="L28" s="16"/>
      <c r="M28" s="135">
        <v>0.96150000000000002</v>
      </c>
      <c r="N28" s="135">
        <v>0.92459999999999998</v>
      </c>
      <c r="O28" s="135">
        <v>0.88900000000000001</v>
      </c>
    </row>
    <row r="29" spans="1:15" ht="17.25" thickBot="1">
      <c r="A29" s="16" t="s">
        <v>508</v>
      </c>
      <c r="B29" s="16">
        <f>+B20</f>
        <v>16000000</v>
      </c>
      <c r="C29" s="16">
        <f>+SUM(C20:C23)*C28</f>
        <v>2596050</v>
      </c>
      <c r="D29" s="16">
        <f>+SUM(D20:D23)*D28</f>
        <v>2496420</v>
      </c>
      <c r="E29" s="16">
        <f>+SUM(E20:E23)*E28</f>
        <v>2400300</v>
      </c>
      <c r="G29" s="16">
        <f>+G20</f>
        <v>16100000</v>
      </c>
      <c r="H29" s="16">
        <f>+SUM(H20:H23)*H28</f>
        <v>2422980</v>
      </c>
      <c r="I29" s="16">
        <f>+SUM(I20:I23)*I28</f>
        <v>2329992</v>
      </c>
      <c r="J29" s="16">
        <f>+SUM(J20:J23)*J28</f>
        <v>2240280</v>
      </c>
      <c r="L29" s="16">
        <f>+L20</f>
        <v>16900000</v>
      </c>
      <c r="M29" s="16">
        <f>+SUM(M20:M23)*M28</f>
        <v>2057610</v>
      </c>
      <c r="N29" s="16">
        <f>+SUM(N20:N23)*N28</f>
        <v>1978644</v>
      </c>
      <c r="O29" s="16">
        <f>+SUM(O20:O23)*O28</f>
        <v>2169160</v>
      </c>
    </row>
    <row r="30" spans="1:15" ht="17.25" thickBot="1">
      <c r="B30" s="13">
        <f>+SUM(B29:E29)</f>
        <v>23492770</v>
      </c>
      <c r="G30" s="13">
        <f>+SUM(G29:J29)</f>
        <v>23093252</v>
      </c>
      <c r="H30" s="16" t="s">
        <v>512</v>
      </c>
      <c r="L30" s="13">
        <f>+SUM(L29:O29)</f>
        <v>23105414</v>
      </c>
    </row>
  </sheetData>
  <phoneticPr fontId="1"/>
  <pageMargins left="0.25" right="0.25" top="0.75" bottom="0.75" header="0.3" footer="0.3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Q21"/>
  <sheetViews>
    <sheetView zoomScaleNormal="100" workbookViewId="0"/>
  </sheetViews>
  <sheetFormatPr defaultColWidth="10.5" defaultRowHeight="16.5"/>
  <cols>
    <col min="1" max="1" width="10.625" style="5" customWidth="1"/>
    <col min="2" max="4" width="11.5" style="5" customWidth="1"/>
    <col min="5" max="6" width="11.125" style="5" customWidth="1"/>
    <col min="7" max="9" width="11.5" style="5" customWidth="1"/>
    <col min="10" max="10" width="10.5" style="5"/>
    <col min="11" max="11" width="10.375" style="5" customWidth="1"/>
    <col min="12" max="16384" width="10.5" style="5"/>
  </cols>
  <sheetData>
    <row r="1" spans="1:1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7">
      <c r="A2" s="6" t="s">
        <v>440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7">
      <c r="A3" s="9" t="s">
        <v>198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7" ht="18" customHeight="1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>
      <c r="A6" s="22" t="s">
        <v>515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23"/>
    </row>
    <row r="7" spans="1:17">
      <c r="A7" s="24" t="s">
        <v>514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s="16" customForma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</row>
    <row r="9" spans="1:17">
      <c r="E9" s="5" t="s">
        <v>534</v>
      </c>
      <c r="H9" s="5" t="s">
        <v>527</v>
      </c>
    </row>
    <row r="10" spans="1:17">
      <c r="C10" s="5" t="s">
        <v>525</v>
      </c>
      <c r="D10" s="5" t="s">
        <v>526</v>
      </c>
      <c r="H10" s="5" t="s">
        <v>525</v>
      </c>
      <c r="I10" s="5" t="s">
        <v>526</v>
      </c>
    </row>
    <row r="11" spans="1:17">
      <c r="A11" s="5" t="s">
        <v>516</v>
      </c>
      <c r="C11" s="5">
        <v>300</v>
      </c>
      <c r="D11" s="5">
        <v>425</v>
      </c>
      <c r="E11" s="5" t="s">
        <v>528</v>
      </c>
      <c r="G11" s="5" t="s">
        <v>528</v>
      </c>
      <c r="H11" s="5">
        <f>+SUMIF($E$11:$E$19,$G11,$C$11:$C$19)</f>
        <v>1950</v>
      </c>
      <c r="I11" s="5">
        <f>+SUMIF($E$11:$E$19,$G11,$D$11:$D$19)</f>
        <v>3700</v>
      </c>
      <c r="J11" s="5" t="s">
        <v>536</v>
      </c>
    </row>
    <row r="12" spans="1:17">
      <c r="A12" s="5" t="s">
        <v>517</v>
      </c>
      <c r="C12" s="5">
        <v>3600</v>
      </c>
      <c r="D12" s="5">
        <v>375</v>
      </c>
      <c r="E12" s="5" t="s">
        <v>530</v>
      </c>
      <c r="G12" s="5" t="s">
        <v>529</v>
      </c>
      <c r="H12" s="5">
        <f>+SUMIF($E$11:$E$19,$G12,$C$11:$C$19)</f>
        <v>2550</v>
      </c>
      <c r="I12" s="5">
        <f>+SUMIF($E$11:$E$19,$G12,$D$11:$D$19)</f>
        <v>2805</v>
      </c>
    </row>
    <row r="13" spans="1:17">
      <c r="A13" s="5" t="s">
        <v>518</v>
      </c>
      <c r="C13" s="5">
        <v>480</v>
      </c>
      <c r="D13" s="5">
        <v>535</v>
      </c>
      <c r="E13" s="5" t="s">
        <v>529</v>
      </c>
      <c r="G13" s="5" t="s">
        <v>532</v>
      </c>
      <c r="H13" s="136">
        <f>+SUM(H11:H12)</f>
        <v>4500</v>
      </c>
      <c r="I13" s="136">
        <f>+SUM(I11:I12)</f>
        <v>6505</v>
      </c>
    </row>
    <row r="14" spans="1:17">
      <c r="A14" s="5" t="s">
        <v>519</v>
      </c>
      <c r="C14" s="5">
        <v>150</v>
      </c>
      <c r="D14" s="5">
        <v>155</v>
      </c>
      <c r="E14" s="5" t="s">
        <v>529</v>
      </c>
      <c r="G14" s="5" t="s">
        <v>530</v>
      </c>
      <c r="H14" s="5">
        <f>+SUMIF($E$11:$E$19,$G14,$C$11:$C$19)</f>
        <v>6150</v>
      </c>
      <c r="I14" s="5">
        <f>+SUMIF($E$11:$E$19,$G14,$D$11:$D$19)</f>
        <v>1000</v>
      </c>
    </row>
    <row r="15" spans="1:17">
      <c r="A15" s="5" t="s">
        <v>520</v>
      </c>
      <c r="C15" s="5">
        <v>2550</v>
      </c>
      <c r="D15" s="5">
        <v>625</v>
      </c>
      <c r="E15" s="5" t="s">
        <v>530</v>
      </c>
      <c r="G15" s="5" t="s">
        <v>531</v>
      </c>
      <c r="H15" s="5">
        <f>+SUMIF($E$11:$E$19,$G15,$C$11:$C$19)</f>
        <v>4350</v>
      </c>
      <c r="I15" s="5">
        <f>+SUMIF($E$11:$E$19,$G15,$D$11:$D$19)</f>
        <v>625</v>
      </c>
    </row>
    <row r="16" spans="1:17">
      <c r="A16" s="5" t="s">
        <v>521</v>
      </c>
      <c r="C16" s="5">
        <v>1650</v>
      </c>
      <c r="D16" s="5">
        <v>3275</v>
      </c>
      <c r="E16" s="5" t="s">
        <v>528</v>
      </c>
      <c r="G16" s="5" t="s">
        <v>533</v>
      </c>
      <c r="H16" s="136">
        <f>+SUM(H14:H15)</f>
        <v>10500</v>
      </c>
      <c r="I16" s="136">
        <f>+SUM(I14:I15)</f>
        <v>1625</v>
      </c>
    </row>
    <row r="17" spans="1:9" ht="17.25" thickBot="1">
      <c r="A17" s="5" t="s">
        <v>522</v>
      </c>
      <c r="C17" s="5">
        <v>3300</v>
      </c>
      <c r="D17" s="5">
        <v>250</v>
      </c>
      <c r="E17" s="5" t="s">
        <v>531</v>
      </c>
      <c r="G17" s="5" t="s">
        <v>535</v>
      </c>
      <c r="H17" s="78">
        <f>+SUM(H13,H16)</f>
        <v>15000</v>
      </c>
      <c r="I17" s="78">
        <f>+SUM(I13,I16)</f>
        <v>8130</v>
      </c>
    </row>
    <row r="18" spans="1:9" ht="17.25" thickTop="1">
      <c r="A18" s="5" t="s">
        <v>523</v>
      </c>
      <c r="C18" s="5">
        <v>1920</v>
      </c>
      <c r="D18" s="5">
        <v>2115</v>
      </c>
      <c r="E18" s="5" t="s">
        <v>529</v>
      </c>
    </row>
    <row r="19" spans="1:9">
      <c r="A19" s="5" t="s">
        <v>524</v>
      </c>
      <c r="C19" s="5">
        <v>1050</v>
      </c>
      <c r="D19" s="5">
        <v>375</v>
      </c>
      <c r="E19" s="5" t="s">
        <v>531</v>
      </c>
    </row>
    <row r="20" spans="1:9" ht="17.25" thickBot="1">
      <c r="C20" s="78">
        <f>+SUM(C11:C19)</f>
        <v>15000</v>
      </c>
      <c r="D20" s="78">
        <f>+SUM(D11:D19)</f>
        <v>8130</v>
      </c>
    </row>
    <row r="21" spans="1:9" ht="17.25" thickTop="1"/>
  </sheetData>
  <phoneticPr fontId="1"/>
  <pageMargins left="0.25" right="0.25" top="0.75" bottom="0.75" header="0.3" footer="0.3"/>
  <pageSetup paperSize="9" scale="6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Q30"/>
  <sheetViews>
    <sheetView topLeftCell="A13" zoomScaleNormal="100" workbookViewId="0"/>
  </sheetViews>
  <sheetFormatPr defaultColWidth="10.5" defaultRowHeight="16.5"/>
  <cols>
    <col min="1" max="1" width="10.625" style="5" customWidth="1"/>
    <col min="2" max="4" width="11.5" style="5" customWidth="1"/>
    <col min="5" max="6" width="11.125" style="5" customWidth="1"/>
    <col min="7" max="9" width="11.5" style="5" customWidth="1"/>
    <col min="10" max="10" width="10.5" style="5"/>
    <col min="11" max="11" width="10.375" style="5" customWidth="1"/>
    <col min="12" max="16384" width="10.5" style="5"/>
  </cols>
  <sheetData>
    <row r="1" spans="1:1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7">
      <c r="A2" s="6" t="s">
        <v>541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7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7" ht="18" customHeight="1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>
      <c r="A6" s="22" t="s">
        <v>542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23"/>
    </row>
    <row r="7" spans="1:17">
      <c r="A7" s="24" t="s">
        <v>543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s="16" customFormat="1" ht="17.2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</row>
    <row r="9" spans="1:17">
      <c r="A9" s="5" t="s">
        <v>550</v>
      </c>
    </row>
    <row r="10" spans="1:17">
      <c r="D10" s="5" t="s">
        <v>546</v>
      </c>
    </row>
    <row r="11" spans="1:17">
      <c r="B11" s="5" t="s">
        <v>544</v>
      </c>
      <c r="C11" s="5" t="s">
        <v>545</v>
      </c>
      <c r="D11" s="5">
        <v>200</v>
      </c>
      <c r="E11" s="5">
        <v>300</v>
      </c>
      <c r="F11" s="5">
        <v>400</v>
      </c>
      <c r="G11" s="5">
        <v>500</v>
      </c>
    </row>
    <row r="12" spans="1:17">
      <c r="B12" s="5">
        <v>200</v>
      </c>
      <c r="C12" s="138">
        <v>0.2</v>
      </c>
      <c r="D12" s="5">
        <v>200</v>
      </c>
      <c r="E12" s="5">
        <v>180</v>
      </c>
      <c r="F12" s="5">
        <v>160</v>
      </c>
      <c r="G12" s="5">
        <v>140</v>
      </c>
    </row>
    <row r="13" spans="1:17">
      <c r="B13" s="5">
        <v>300</v>
      </c>
      <c r="C13" s="138">
        <v>0.4</v>
      </c>
      <c r="D13" s="5">
        <v>200</v>
      </c>
      <c r="E13" s="5">
        <v>300</v>
      </c>
      <c r="F13" s="5">
        <v>280</v>
      </c>
      <c r="G13" s="5">
        <v>260</v>
      </c>
    </row>
    <row r="14" spans="1:17">
      <c r="B14" s="5">
        <v>400</v>
      </c>
      <c r="C14" s="138">
        <v>0.3</v>
      </c>
      <c r="D14" s="5">
        <v>200</v>
      </c>
      <c r="E14" s="5">
        <v>300</v>
      </c>
      <c r="F14" s="5">
        <v>400</v>
      </c>
      <c r="G14" s="5">
        <v>380</v>
      </c>
    </row>
    <row r="15" spans="1:17">
      <c r="B15" s="5">
        <v>500</v>
      </c>
      <c r="C15" s="138">
        <v>0.1</v>
      </c>
      <c r="D15" s="5">
        <v>200</v>
      </c>
      <c r="E15" s="5">
        <v>300</v>
      </c>
      <c r="F15" s="5">
        <v>400</v>
      </c>
      <c r="G15" s="5">
        <v>500</v>
      </c>
    </row>
    <row r="16" spans="1:17">
      <c r="C16" s="138"/>
    </row>
    <row r="17" spans="1:9">
      <c r="B17" s="5" t="s">
        <v>547</v>
      </c>
      <c r="D17" s="5" t="s">
        <v>548</v>
      </c>
    </row>
    <row r="18" spans="1:9">
      <c r="B18" s="5">
        <v>200</v>
      </c>
      <c r="D18" s="5">
        <f>+D12*$C12</f>
        <v>40</v>
      </c>
      <c r="E18" s="5">
        <f>+E12*$C12</f>
        <v>36</v>
      </c>
      <c r="F18" s="5">
        <f>+F12*$C12</f>
        <v>32</v>
      </c>
      <c r="G18" s="5">
        <f>+G12*$C12</f>
        <v>28</v>
      </c>
    </row>
    <row r="19" spans="1:9">
      <c r="B19" s="5">
        <v>300</v>
      </c>
      <c r="D19" s="5">
        <f t="shared" ref="D19:E21" si="0">+D13*$C13</f>
        <v>80</v>
      </c>
      <c r="E19" s="5">
        <f t="shared" si="0"/>
        <v>120</v>
      </c>
      <c r="F19" s="5">
        <f t="shared" ref="F19:G19" si="1">+F13*$C13</f>
        <v>112</v>
      </c>
      <c r="G19" s="5">
        <f t="shared" si="1"/>
        <v>104</v>
      </c>
    </row>
    <row r="20" spans="1:9">
      <c r="B20" s="5">
        <v>400</v>
      </c>
      <c r="D20" s="5">
        <f t="shared" si="0"/>
        <v>60</v>
      </c>
      <c r="E20" s="5">
        <f t="shared" si="0"/>
        <v>90</v>
      </c>
      <c r="F20" s="5">
        <f t="shared" ref="F20:G20" si="2">+F14*$C14</f>
        <v>120</v>
      </c>
      <c r="G20" s="5">
        <f t="shared" si="2"/>
        <v>114</v>
      </c>
    </row>
    <row r="21" spans="1:9">
      <c r="B21" s="5">
        <v>500</v>
      </c>
      <c r="D21" s="5">
        <f t="shared" si="0"/>
        <v>20</v>
      </c>
      <c r="E21" s="5">
        <f t="shared" si="0"/>
        <v>30</v>
      </c>
      <c r="F21" s="5">
        <f t="shared" ref="F21:G21" si="3">+F15*$C15</f>
        <v>40</v>
      </c>
      <c r="G21" s="5">
        <f t="shared" si="3"/>
        <v>50</v>
      </c>
    </row>
    <row r="22" spans="1:9" ht="17.25" thickBot="1">
      <c r="B22" s="5" t="s">
        <v>552</v>
      </c>
      <c r="D22" s="139">
        <f>+SUM(D18:D21)</f>
        <v>200</v>
      </c>
      <c r="E22" s="139">
        <f t="shared" ref="E22:G22" si="4">+SUM(E18:E21)</f>
        <v>276</v>
      </c>
      <c r="F22" s="17">
        <f t="shared" si="4"/>
        <v>304</v>
      </c>
      <c r="G22" s="139">
        <f t="shared" si="4"/>
        <v>296</v>
      </c>
    </row>
    <row r="23" spans="1:9" ht="17.25" thickTop="1">
      <c r="F23" s="5" t="s">
        <v>549</v>
      </c>
    </row>
    <row r="24" spans="1:9">
      <c r="A24" s="5" t="s">
        <v>551</v>
      </c>
      <c r="B24" s="5" t="s">
        <v>554</v>
      </c>
    </row>
    <row r="25" spans="1:9">
      <c r="B25" s="5">
        <v>200</v>
      </c>
      <c r="D25" s="5">
        <f>+D12*$C12</f>
        <v>40</v>
      </c>
    </row>
    <row r="26" spans="1:9">
      <c r="B26" s="5">
        <v>300</v>
      </c>
      <c r="E26" s="5">
        <f>+E13*$C13</f>
        <v>120</v>
      </c>
    </row>
    <row r="27" spans="1:9">
      <c r="B27" s="5">
        <v>400</v>
      </c>
      <c r="F27" s="5">
        <f>+F14*$C14</f>
        <v>120</v>
      </c>
    </row>
    <row r="28" spans="1:9">
      <c r="B28" s="5">
        <v>500</v>
      </c>
      <c r="G28" s="5">
        <f>+G15*$C15</f>
        <v>50</v>
      </c>
    </row>
    <row r="29" spans="1:9" ht="17.25" thickBot="1">
      <c r="B29" s="5" t="s">
        <v>553</v>
      </c>
      <c r="H29" s="28">
        <f>+SUM(D25,E26,F27,G28)</f>
        <v>330</v>
      </c>
    </row>
    <row r="30" spans="1:9" ht="17.25" thickBot="1">
      <c r="B30" s="5" t="s">
        <v>555</v>
      </c>
      <c r="H30" s="13">
        <f>+H29-F22</f>
        <v>26</v>
      </c>
      <c r="I30" s="5" t="s">
        <v>556</v>
      </c>
    </row>
  </sheetData>
  <phoneticPr fontId="1"/>
  <pageMargins left="0.25" right="0.25" top="0.75" bottom="0.75" header="0.3" footer="0.3"/>
  <pageSetup paperSize="9" scale="6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Q25"/>
  <sheetViews>
    <sheetView zoomScaleNormal="100" workbookViewId="0"/>
  </sheetViews>
  <sheetFormatPr defaultColWidth="10.5" defaultRowHeight="16.5"/>
  <cols>
    <col min="1" max="1" width="10.625" style="5" customWidth="1"/>
    <col min="2" max="4" width="11.5" style="5" customWidth="1"/>
    <col min="5" max="6" width="11.125" style="5" customWidth="1"/>
    <col min="7" max="9" width="11.5" style="5" customWidth="1"/>
    <col min="10" max="10" width="10.5" style="5"/>
    <col min="11" max="11" width="10.375" style="5" customWidth="1"/>
    <col min="12" max="16384" width="10.5" style="5"/>
  </cols>
  <sheetData>
    <row r="1" spans="1:1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7">
      <c r="A2" s="6" t="s">
        <v>541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7">
      <c r="A3" s="9" t="s">
        <v>119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7" ht="18" customHeight="1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>
      <c r="A6" s="22" t="s">
        <v>566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23"/>
    </row>
    <row r="7" spans="1:17">
      <c r="A7" s="24" t="s">
        <v>567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s="16" customFormat="1" ht="17.2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</row>
    <row r="9" spans="1:17" s="16" customFormat="1" ht="17.25" customHeight="1">
      <c r="A9" s="5" t="s">
        <v>311</v>
      </c>
      <c r="B9" s="137" t="s">
        <v>455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</row>
    <row r="10" spans="1:17" s="16" customFormat="1" ht="17.2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</row>
    <row r="11" spans="1:17">
      <c r="A11" s="5" t="s">
        <v>235</v>
      </c>
      <c r="B11" s="5" t="s">
        <v>557</v>
      </c>
    </row>
    <row r="12" spans="1:17">
      <c r="D12" s="5" t="s">
        <v>562</v>
      </c>
    </row>
    <row r="13" spans="1:17">
      <c r="B13" s="5" t="s">
        <v>558</v>
      </c>
      <c r="C13" s="5" t="s">
        <v>545</v>
      </c>
      <c r="D13" s="5" t="s">
        <v>563</v>
      </c>
      <c r="E13" s="5" t="s">
        <v>564</v>
      </c>
      <c r="F13" s="5" t="s">
        <v>565</v>
      </c>
    </row>
    <row r="14" spans="1:17">
      <c r="B14" s="5" t="s">
        <v>559</v>
      </c>
      <c r="C14" s="140">
        <v>0.3</v>
      </c>
      <c r="D14" s="5">
        <v>7</v>
      </c>
      <c r="E14" s="5">
        <v>6</v>
      </c>
      <c r="F14" s="5">
        <v>5</v>
      </c>
    </row>
    <row r="15" spans="1:17">
      <c r="B15" s="5" t="s">
        <v>560</v>
      </c>
      <c r="C15" s="140">
        <v>0.5</v>
      </c>
      <c r="D15" s="5">
        <v>2</v>
      </c>
      <c r="E15" s="5">
        <v>3</v>
      </c>
      <c r="F15" s="5">
        <v>4</v>
      </c>
    </row>
    <row r="16" spans="1:17">
      <c r="B16" s="5" t="s">
        <v>561</v>
      </c>
      <c r="C16" s="140">
        <v>0.2</v>
      </c>
      <c r="D16" s="5">
        <v>-1</v>
      </c>
      <c r="E16" s="5">
        <v>0</v>
      </c>
      <c r="F16" s="5">
        <v>1</v>
      </c>
    </row>
    <row r="18" spans="2:6">
      <c r="B18" s="5" t="s">
        <v>547</v>
      </c>
    </row>
    <row r="19" spans="2:6">
      <c r="B19" s="5" t="s">
        <v>559</v>
      </c>
      <c r="D19" s="140">
        <f>+D14*$C14</f>
        <v>2.1</v>
      </c>
      <c r="E19" s="140">
        <f t="shared" ref="E19:F19" si="0">+E14*$C14</f>
        <v>1.7999999999999998</v>
      </c>
      <c r="F19" s="140">
        <f t="shared" si="0"/>
        <v>1.5</v>
      </c>
    </row>
    <row r="20" spans="2:6">
      <c r="B20" s="5" t="s">
        <v>560</v>
      </c>
      <c r="D20" s="140">
        <f t="shared" ref="D20:F21" si="1">+D15*$C15</f>
        <v>1</v>
      </c>
      <c r="E20" s="140">
        <f t="shared" si="1"/>
        <v>1.5</v>
      </c>
      <c r="F20" s="140">
        <f t="shared" si="1"/>
        <v>2</v>
      </c>
    </row>
    <row r="21" spans="2:6">
      <c r="B21" s="5" t="s">
        <v>561</v>
      </c>
      <c r="D21" s="140">
        <f t="shared" si="1"/>
        <v>-0.2</v>
      </c>
      <c r="E21" s="140">
        <f t="shared" si="1"/>
        <v>0</v>
      </c>
      <c r="F21" s="140">
        <f t="shared" si="1"/>
        <v>0.2</v>
      </c>
    </row>
    <row r="22" spans="2:6" ht="17.25" thickBot="1">
      <c r="B22" s="5" t="s">
        <v>552</v>
      </c>
      <c r="D22" s="141">
        <f>+SUM(D19:D21)</f>
        <v>2.9</v>
      </c>
      <c r="E22" s="141">
        <f t="shared" ref="E22:F22" si="2">+SUM(E19:E21)</f>
        <v>3.3</v>
      </c>
      <c r="F22" s="48">
        <f t="shared" si="2"/>
        <v>3.7</v>
      </c>
    </row>
    <row r="23" spans="2:6" ht="17.25" thickTop="1">
      <c r="F23" s="5" t="s">
        <v>568</v>
      </c>
    </row>
    <row r="25" spans="2:6">
      <c r="F25" s="5" t="s">
        <v>569</v>
      </c>
    </row>
  </sheetData>
  <phoneticPr fontId="1"/>
  <pageMargins left="0.25" right="0.25" top="0.75" bottom="0.75" header="0.3" footer="0.3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R35"/>
  <sheetViews>
    <sheetView zoomScaleNormal="100" workbookViewId="0"/>
  </sheetViews>
  <sheetFormatPr defaultColWidth="10.5" defaultRowHeight="16.5"/>
  <cols>
    <col min="1" max="1" width="10.625" style="5" customWidth="1"/>
    <col min="2" max="5" width="11.5" style="5" customWidth="1"/>
    <col min="6" max="7" width="11.125" style="5" customWidth="1"/>
    <col min="8" max="10" width="11.5" style="5" customWidth="1"/>
    <col min="11" max="11" width="10.5" style="5"/>
    <col min="12" max="12" width="10.375" style="5" customWidth="1"/>
    <col min="13" max="16384" width="10.5" style="5"/>
  </cols>
  <sheetData>
    <row r="1" spans="1:1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8">
      <c r="A2" s="6" t="s">
        <v>541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18">
      <c r="A3" s="9" t="s">
        <v>198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8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8" ht="18" customHeight="1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1:18">
      <c r="A6" s="22" t="s">
        <v>576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3"/>
    </row>
    <row r="7" spans="1:18">
      <c r="A7" s="24" t="s">
        <v>575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6"/>
    </row>
    <row r="8" spans="1:18" s="16" customFormat="1" ht="17.2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</row>
    <row r="9" spans="1:18">
      <c r="A9" s="5" t="s">
        <v>311</v>
      </c>
    </row>
    <row r="10" spans="1:18">
      <c r="E10" s="5" t="s">
        <v>573</v>
      </c>
    </row>
    <row r="11" spans="1:18">
      <c r="E11" s="5">
        <v>100</v>
      </c>
      <c r="F11" s="5">
        <v>200</v>
      </c>
      <c r="G11" s="5">
        <v>300</v>
      </c>
      <c r="H11" s="5">
        <v>400</v>
      </c>
    </row>
    <row r="12" spans="1:18">
      <c r="C12" s="105" t="s">
        <v>570</v>
      </c>
      <c r="D12" s="105"/>
      <c r="E12" s="5">
        <v>2000</v>
      </c>
      <c r="F12" s="5">
        <v>2500</v>
      </c>
      <c r="G12" s="5">
        <v>3000</v>
      </c>
      <c r="H12" s="5">
        <v>3500</v>
      </c>
    </row>
    <row r="13" spans="1:18">
      <c r="C13" s="105" t="s">
        <v>571</v>
      </c>
      <c r="D13" s="105"/>
      <c r="E13" s="5">
        <v>-4000</v>
      </c>
      <c r="F13" s="5">
        <v>-3500</v>
      </c>
      <c r="G13" s="5">
        <v>-3000</v>
      </c>
      <c r="H13" s="5">
        <v>-2500</v>
      </c>
    </row>
    <row r="15" spans="1:18">
      <c r="B15" s="5" t="s">
        <v>544</v>
      </c>
      <c r="C15" s="5" t="s">
        <v>545</v>
      </c>
      <c r="E15" s="5" t="s">
        <v>572</v>
      </c>
    </row>
    <row r="16" spans="1:18">
      <c r="B16" s="5">
        <v>100</v>
      </c>
      <c r="C16" s="133">
        <v>4</v>
      </c>
      <c r="D16" s="138">
        <f>+C16/SUM($C$16:$C$19)</f>
        <v>0.2</v>
      </c>
      <c r="E16" s="5">
        <f>+E12*E11</f>
        <v>200000</v>
      </c>
      <c r="F16" s="5">
        <f>+$B16*F$12+(F$11-$B16)*F$13</f>
        <v>-100000</v>
      </c>
      <c r="G16" s="5">
        <f>+$B16*G$12+(G$11-$B16)*G$13</f>
        <v>-300000</v>
      </c>
      <c r="H16" s="5">
        <f>+$B16*H$12+(H$11-$B16)*H$13</f>
        <v>-400000</v>
      </c>
    </row>
    <row r="17" spans="1:8">
      <c r="B17" s="5">
        <v>200</v>
      </c>
      <c r="C17" s="133">
        <v>6</v>
      </c>
      <c r="D17" s="138">
        <f t="shared" ref="D17:D19" si="0">+C17/SUM($C$16:$C$19)</f>
        <v>0.3</v>
      </c>
      <c r="E17" s="5">
        <f>+E16</f>
        <v>200000</v>
      </c>
      <c r="F17" s="5">
        <f>+F11*F12</f>
        <v>500000</v>
      </c>
      <c r="G17" s="5">
        <f>+$B17*G$12+(G$11-$B17)*G$13</f>
        <v>300000</v>
      </c>
      <c r="H17" s="5">
        <f>+$B17*H$12+(H$11-$B17)*H$13</f>
        <v>200000</v>
      </c>
    </row>
    <row r="18" spans="1:8">
      <c r="B18" s="5">
        <v>300</v>
      </c>
      <c r="C18" s="133">
        <v>8</v>
      </c>
      <c r="D18" s="138">
        <f t="shared" si="0"/>
        <v>0.4</v>
      </c>
      <c r="E18" s="5">
        <f>+E17</f>
        <v>200000</v>
      </c>
      <c r="F18" s="5">
        <f>+F17</f>
        <v>500000</v>
      </c>
      <c r="G18" s="5">
        <f>+G11*G12</f>
        <v>900000</v>
      </c>
      <c r="H18" s="5">
        <f>+$B18*H$12+(H$11-$B18)*H$13</f>
        <v>800000</v>
      </c>
    </row>
    <row r="19" spans="1:8">
      <c r="B19" s="5">
        <v>400</v>
      </c>
      <c r="C19" s="133">
        <v>2</v>
      </c>
      <c r="D19" s="138">
        <f t="shared" si="0"/>
        <v>0.1</v>
      </c>
      <c r="E19" s="5">
        <f>+E18</f>
        <v>200000</v>
      </c>
      <c r="F19" s="5">
        <f>+F18</f>
        <v>500000</v>
      </c>
      <c r="G19" s="5">
        <f>+G18</f>
        <v>900000</v>
      </c>
      <c r="H19" s="5">
        <f>+H11*H12</f>
        <v>1400000</v>
      </c>
    </row>
    <row r="20" spans="1:8">
      <c r="C20" s="138"/>
      <c r="D20" s="138"/>
    </row>
    <row r="21" spans="1:8">
      <c r="B21" s="5" t="s">
        <v>547</v>
      </c>
    </row>
    <row r="22" spans="1:8">
      <c r="B22" s="5">
        <v>100</v>
      </c>
      <c r="E22" s="5">
        <f t="shared" ref="E22:H25" si="1">+E16*$D16</f>
        <v>40000</v>
      </c>
      <c r="F22" s="5">
        <f t="shared" si="1"/>
        <v>-20000</v>
      </c>
      <c r="G22" s="5">
        <f t="shared" si="1"/>
        <v>-60000</v>
      </c>
      <c r="H22" s="5">
        <f t="shared" si="1"/>
        <v>-80000</v>
      </c>
    </row>
    <row r="23" spans="1:8">
      <c r="B23" s="5">
        <v>200</v>
      </c>
      <c r="E23" s="5">
        <f t="shared" si="1"/>
        <v>60000</v>
      </c>
      <c r="F23" s="5">
        <f t="shared" si="1"/>
        <v>150000</v>
      </c>
      <c r="G23" s="5">
        <f t="shared" si="1"/>
        <v>90000</v>
      </c>
      <c r="H23" s="5">
        <f t="shared" si="1"/>
        <v>60000</v>
      </c>
    </row>
    <row r="24" spans="1:8">
      <c r="B24" s="5">
        <v>300</v>
      </c>
      <c r="E24" s="5">
        <f t="shared" si="1"/>
        <v>80000</v>
      </c>
      <c r="F24" s="5">
        <f t="shared" si="1"/>
        <v>200000</v>
      </c>
      <c r="G24" s="5">
        <f t="shared" si="1"/>
        <v>360000</v>
      </c>
      <c r="H24" s="5">
        <f t="shared" si="1"/>
        <v>320000</v>
      </c>
    </row>
    <row r="25" spans="1:8">
      <c r="B25" s="5">
        <v>400</v>
      </c>
      <c r="E25" s="5">
        <f t="shared" si="1"/>
        <v>20000</v>
      </c>
      <c r="F25" s="5">
        <f t="shared" si="1"/>
        <v>50000</v>
      </c>
      <c r="G25" s="5">
        <f t="shared" si="1"/>
        <v>90000</v>
      </c>
      <c r="H25" s="5">
        <f t="shared" si="1"/>
        <v>140000</v>
      </c>
    </row>
    <row r="26" spans="1:8" ht="17.25" thickBot="1">
      <c r="B26" s="5" t="s">
        <v>552</v>
      </c>
      <c r="E26" s="139">
        <f>+SUM(E22:E25)</f>
        <v>200000</v>
      </c>
      <c r="F26" s="139">
        <f t="shared" ref="F26:H26" si="2">+SUM(F22:F25)</f>
        <v>380000</v>
      </c>
      <c r="G26" s="17">
        <f t="shared" si="2"/>
        <v>480000</v>
      </c>
      <c r="H26" s="139">
        <f t="shared" si="2"/>
        <v>440000</v>
      </c>
    </row>
    <row r="27" spans="1:8" ht="17.25" thickTop="1"/>
    <row r="29" spans="1:8">
      <c r="A29" s="5" t="s">
        <v>235</v>
      </c>
      <c r="B29" s="5" t="s">
        <v>574</v>
      </c>
    </row>
    <row r="30" spans="1:8">
      <c r="B30" s="5">
        <v>100</v>
      </c>
      <c r="E30" s="5">
        <f>+E16*$D16</f>
        <v>40000</v>
      </c>
    </row>
    <row r="31" spans="1:8">
      <c r="B31" s="5">
        <v>200</v>
      </c>
      <c r="F31" s="5">
        <f>+F17*$D17</f>
        <v>150000</v>
      </c>
    </row>
    <row r="32" spans="1:8">
      <c r="B32" s="5">
        <v>300</v>
      </c>
      <c r="G32" s="5">
        <f>+G18*$D18</f>
        <v>360000</v>
      </c>
    </row>
    <row r="33" spans="2:10">
      <c r="B33" s="5">
        <v>400</v>
      </c>
      <c r="H33" s="5">
        <f>+H19*$D19</f>
        <v>140000</v>
      </c>
    </row>
    <row r="34" spans="2:10" ht="17.25" thickBot="1">
      <c r="B34" s="5" t="s">
        <v>553</v>
      </c>
      <c r="I34" s="28">
        <f>+SUM(E30,F31,G32,H33)</f>
        <v>690000</v>
      </c>
    </row>
    <row r="35" spans="2:10" ht="17.25" thickBot="1">
      <c r="B35" s="5" t="s">
        <v>555</v>
      </c>
      <c r="I35" s="13">
        <f>+I34-G26</f>
        <v>210000</v>
      </c>
      <c r="J35" s="5" t="s">
        <v>4</v>
      </c>
    </row>
  </sheetData>
  <phoneticPr fontId="1"/>
  <pageMargins left="0.25" right="0.25" top="0.75" bottom="0.75" header="0.3" footer="0.3"/>
  <pageSetup paperSize="9" scale="6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R66"/>
  <sheetViews>
    <sheetView zoomScaleNormal="100" workbookViewId="0"/>
  </sheetViews>
  <sheetFormatPr defaultColWidth="10.5" defaultRowHeight="16.5"/>
  <cols>
    <col min="1" max="1" width="10.625" style="5" customWidth="1"/>
    <col min="2" max="5" width="11.5" style="5" customWidth="1"/>
    <col min="6" max="7" width="11.125" style="5" customWidth="1"/>
    <col min="8" max="10" width="11.5" style="5" customWidth="1"/>
    <col min="11" max="11" width="10.5" style="5"/>
    <col min="12" max="12" width="10.375" style="5" customWidth="1"/>
    <col min="13" max="16384" width="10.5" style="5"/>
  </cols>
  <sheetData>
    <row r="1" spans="1:1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8">
      <c r="A2" s="6" t="s">
        <v>541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18">
      <c r="A3" s="9" t="s">
        <v>577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8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8" ht="18" customHeight="1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1:18">
      <c r="A6" s="22" t="s">
        <v>578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3"/>
    </row>
    <row r="7" spans="1:18">
      <c r="A7" s="24" t="s">
        <v>615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6"/>
    </row>
    <row r="8" spans="1:18" s="16" customFormat="1" ht="17.2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</row>
    <row r="9" spans="1:18" s="16" customFormat="1" ht="17.25" customHeight="1">
      <c r="A9" s="137" t="s">
        <v>596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</row>
    <row r="10" spans="1:18" s="16" customFormat="1" ht="17.25" customHeight="1">
      <c r="A10" s="137"/>
      <c r="B10" s="5"/>
      <c r="C10" s="5"/>
      <c r="D10" s="5" t="s">
        <v>545</v>
      </c>
      <c r="E10" s="5"/>
      <c r="F10" s="5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</row>
    <row r="11" spans="1:18" s="16" customFormat="1" ht="17.25" customHeight="1">
      <c r="A11" s="137"/>
      <c r="B11" s="5" t="s">
        <v>597</v>
      </c>
      <c r="C11" s="5"/>
      <c r="D11" s="132">
        <v>0.86</v>
      </c>
      <c r="E11" s="5" t="s">
        <v>601</v>
      </c>
      <c r="F11" s="5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</row>
    <row r="12" spans="1:18" s="16" customFormat="1" ht="17.25" customHeight="1">
      <c r="A12" s="137"/>
      <c r="B12" s="5" t="s">
        <v>598</v>
      </c>
      <c r="C12" s="5"/>
      <c r="D12" s="132">
        <v>0.14000000000000001</v>
      </c>
      <c r="E12" s="5"/>
      <c r="F12" s="5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s="16" customFormat="1" ht="17.25" customHeight="1">
      <c r="A13" s="137"/>
      <c r="B13" s="5" t="s">
        <v>599</v>
      </c>
      <c r="C13" s="5"/>
      <c r="D13" s="132">
        <v>0.86</v>
      </c>
      <c r="E13" s="5"/>
      <c r="F13" s="5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6" customFormat="1" ht="17.25" customHeight="1">
      <c r="A14" s="137"/>
      <c r="B14" s="5" t="s">
        <v>600</v>
      </c>
      <c r="C14" s="5"/>
      <c r="D14" s="132">
        <v>0.14000000000000001</v>
      </c>
      <c r="E14" s="5"/>
      <c r="F14" s="5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s="16" customFormat="1" ht="17.25" customHeight="1">
      <c r="A15" s="137"/>
      <c r="B15" s="5"/>
      <c r="C15" s="5"/>
      <c r="D15" s="140"/>
      <c r="E15" s="5"/>
      <c r="F15" s="5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</row>
    <row r="16" spans="1:18" s="16" customFormat="1" ht="17.25" customHeight="1">
      <c r="A16" s="137"/>
      <c r="B16" s="5"/>
      <c r="C16" s="5"/>
      <c r="D16" s="5"/>
      <c r="E16" s="5"/>
      <c r="F16" s="5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1:18" s="16" customFormat="1" ht="17.25" customHeight="1">
      <c r="A17" s="137"/>
      <c r="B17" s="5" t="s">
        <v>579</v>
      </c>
      <c r="C17" s="5"/>
      <c r="D17" s="5"/>
      <c r="E17" s="5"/>
      <c r="F17" s="5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1:18" s="16" customFormat="1" ht="17.25" customHeight="1">
      <c r="A18" s="137"/>
      <c r="B18" s="5"/>
      <c r="C18" s="59" t="s">
        <v>587</v>
      </c>
      <c r="D18" s="18" t="s">
        <v>588</v>
      </c>
      <c r="E18" s="18" t="s">
        <v>589</v>
      </c>
      <c r="F18" s="18" t="s">
        <v>590</v>
      </c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</row>
    <row r="19" spans="1:18" s="16" customFormat="1" ht="17.25" customHeight="1">
      <c r="A19" s="137"/>
      <c r="B19" s="5" t="s">
        <v>602</v>
      </c>
      <c r="C19" s="74"/>
      <c r="D19" s="76"/>
      <c r="E19" s="76">
        <v>-800000</v>
      </c>
      <c r="F19" s="76">
        <v>236000</v>
      </c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</row>
    <row r="20" spans="1:18" s="16" customFormat="1" ht="17.25" customHeight="1">
      <c r="A20" s="137"/>
      <c r="B20" s="5" t="s">
        <v>504</v>
      </c>
      <c r="C20" s="5"/>
      <c r="D20" s="5"/>
      <c r="E20" s="5">
        <v>-800000</v>
      </c>
      <c r="F20" s="5">
        <v>92000</v>
      </c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s="16" customFormat="1" ht="17.25" customHeight="1">
      <c r="A21" s="137"/>
      <c r="B21" s="5"/>
      <c r="C21" s="5"/>
      <c r="D21" s="5"/>
      <c r="E21" s="5"/>
      <c r="F21" s="5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s="16" customFormat="1" ht="17.25" customHeight="1">
      <c r="A22" s="137"/>
      <c r="B22" s="5" t="s">
        <v>505</v>
      </c>
      <c r="C22" s="5"/>
      <c r="D22" s="5"/>
      <c r="E22" s="5"/>
      <c r="F22" s="5">
        <v>88000</v>
      </c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s="16" customFormat="1" ht="17.25" customHeight="1">
      <c r="A23" s="137"/>
      <c r="B23" s="5" t="s">
        <v>603</v>
      </c>
      <c r="C23" s="5"/>
      <c r="D23" s="5"/>
      <c r="E23" s="5"/>
      <c r="F23" s="5">
        <v>52000</v>
      </c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</row>
    <row r="24" spans="1:18" s="16" customFormat="1" ht="17.25" customHeight="1">
      <c r="A24" s="137"/>
      <c r="B24" s="5" t="s">
        <v>51</v>
      </c>
      <c r="C24" s="5"/>
      <c r="D24" s="102"/>
      <c r="E24" s="102"/>
      <c r="F24" s="102">
        <v>6.7327000000000004</v>
      </c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</row>
    <row r="25" spans="1:18" s="16" customFormat="1" ht="17.25" customHeight="1">
      <c r="A25" s="137"/>
      <c r="B25" s="5"/>
      <c r="C25" s="5"/>
      <c r="D25" s="5"/>
      <c r="E25" s="5"/>
      <c r="F25" s="5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</row>
    <row r="26" spans="1:18" s="16" customFormat="1" ht="17.25" customHeight="1">
      <c r="A26" s="137"/>
      <c r="B26" s="5" t="s">
        <v>594</v>
      </c>
      <c r="C26" s="5"/>
      <c r="D26" s="5" t="s">
        <v>608</v>
      </c>
      <c r="E26" s="5"/>
      <c r="F26" s="30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</row>
    <row r="27" spans="1:18" s="16" customFormat="1" ht="17.25" customHeight="1">
      <c r="A27" s="137" t="s">
        <v>606</v>
      </c>
      <c r="B27" s="5" t="s">
        <v>602</v>
      </c>
      <c r="C27" s="5"/>
      <c r="D27" s="5"/>
      <c r="E27" s="5">
        <f>+E19+F27</f>
        <v>788917.20000000019</v>
      </c>
      <c r="F27" s="5">
        <f t="shared" ref="F27" si="0">+F19*F$24</f>
        <v>1588917.2000000002</v>
      </c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</row>
    <row r="28" spans="1:18" s="16" customFormat="1" ht="17.25" customHeight="1" thickBot="1">
      <c r="A28" s="137"/>
      <c r="B28" s="5" t="s">
        <v>504</v>
      </c>
      <c r="C28" s="5"/>
      <c r="D28" s="5"/>
      <c r="E28" s="5">
        <f>+E20+F28</f>
        <v>-180591.59999999998</v>
      </c>
      <c r="F28" s="5">
        <f t="shared" ref="F28" si="1">+F20*F$24</f>
        <v>619408.4</v>
      </c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</row>
    <row r="29" spans="1:18" s="16" customFormat="1" ht="17.25" customHeight="1" thickBot="1">
      <c r="A29" s="137"/>
      <c r="B29" s="5" t="s">
        <v>595</v>
      </c>
      <c r="C29" s="5"/>
      <c r="E29" s="13">
        <f>+E27*0.86+E28*0.14</f>
        <v>653185.96800000011</v>
      </c>
      <c r="F29" s="5"/>
      <c r="G29" s="137" t="s">
        <v>609</v>
      </c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</row>
    <row r="30" spans="1:18" s="16" customFormat="1" ht="17.25" customHeight="1">
      <c r="A30" s="137" t="s">
        <v>607</v>
      </c>
      <c r="B30" s="5" t="s">
        <v>604</v>
      </c>
      <c r="C30" s="5"/>
      <c r="E30" s="5">
        <f>+E22+F30</f>
        <v>592477.6</v>
      </c>
      <c r="F30" s="5">
        <f t="shared" ref="F30" si="2">+F22*F$24</f>
        <v>592477.6</v>
      </c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</row>
    <row r="31" spans="1:18" s="16" customFormat="1" ht="17.25" customHeight="1" thickBot="1">
      <c r="A31" s="137"/>
      <c r="B31" s="5" t="s">
        <v>605</v>
      </c>
      <c r="C31" s="5"/>
      <c r="E31" s="5">
        <f>+E23+F31</f>
        <v>350100.4</v>
      </c>
      <c r="F31" s="5">
        <f t="shared" ref="F31" si="3">+F23*F$24</f>
        <v>350100.4</v>
      </c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</row>
    <row r="32" spans="1:18" s="16" customFormat="1" ht="17.25" customHeight="1" thickBot="1">
      <c r="A32" s="137"/>
      <c r="B32" s="5" t="s">
        <v>595</v>
      </c>
      <c r="C32" s="5"/>
      <c r="E32" s="13">
        <f>+E30*0.86+E31*0.14</f>
        <v>558544.79200000002</v>
      </c>
      <c r="F32" s="5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</row>
    <row r="33" spans="1:18" s="16" customFormat="1" ht="17.25" customHeight="1">
      <c r="A33" s="137"/>
      <c r="B33" s="5"/>
      <c r="C33" s="5"/>
      <c r="F33" s="5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</row>
    <row r="34" spans="1:18" s="16" customFormat="1" ht="17.25" customHeight="1">
      <c r="A34" s="137"/>
      <c r="B34" s="5"/>
      <c r="C34" s="5"/>
      <c r="F34" s="5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</row>
    <row r="35" spans="1:18" s="16" customFormat="1" ht="17.25" customHeight="1">
      <c r="A35" s="137" t="s">
        <v>235</v>
      </c>
      <c r="B35" s="5"/>
      <c r="C35" s="5"/>
      <c r="F35" s="5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</row>
    <row r="36" spans="1:18" s="16" customFormat="1" ht="17.25" customHeight="1">
      <c r="A36" s="137"/>
      <c r="B36" s="5" t="s">
        <v>610</v>
      </c>
      <c r="C36" s="5"/>
      <c r="F36" s="5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</row>
    <row r="37" spans="1:18" s="16" customFormat="1" ht="17.25" customHeight="1">
      <c r="A37" s="137"/>
      <c r="B37" s="5"/>
      <c r="C37" s="59" t="s">
        <v>587</v>
      </c>
      <c r="D37" s="18" t="s">
        <v>588</v>
      </c>
      <c r="E37" s="18" t="s">
        <v>589</v>
      </c>
      <c r="F37" s="18" t="s">
        <v>590</v>
      </c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</row>
    <row r="38" spans="1:18" s="16" customFormat="1" ht="17.25" customHeight="1">
      <c r="A38" s="142">
        <v>0.7</v>
      </c>
      <c r="B38" s="5" t="s">
        <v>611</v>
      </c>
      <c r="C38" s="74">
        <v>-400000</v>
      </c>
      <c r="D38" s="76">
        <v>88000</v>
      </c>
      <c r="E38" s="76">
        <v>88000</v>
      </c>
      <c r="F38" s="76">
        <f>+E29</f>
        <v>653185.96800000011</v>
      </c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</row>
    <row r="39" spans="1:18" s="16" customFormat="1" ht="17.25" customHeight="1">
      <c r="A39" s="142">
        <v>0.3</v>
      </c>
      <c r="B39" s="5" t="s">
        <v>612</v>
      </c>
      <c r="C39" s="5">
        <v>-400000</v>
      </c>
      <c r="D39" s="16">
        <v>52000</v>
      </c>
      <c r="E39" s="16">
        <v>52000</v>
      </c>
      <c r="F39" s="16">
        <v>52000</v>
      </c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</row>
    <row r="40" spans="1:18" s="16" customFormat="1" ht="17.25" customHeight="1">
      <c r="A40" s="137"/>
      <c r="B40" s="5" t="s">
        <v>51</v>
      </c>
      <c r="C40" s="5"/>
      <c r="D40" s="102">
        <v>0.96150000000000002</v>
      </c>
      <c r="E40" s="102">
        <v>0.92459999999999998</v>
      </c>
      <c r="F40" s="102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</row>
    <row r="41" spans="1:18" s="16" customFormat="1" ht="17.25" customHeight="1">
      <c r="A41" s="137"/>
      <c r="B41" s="5"/>
      <c r="C41" s="5"/>
      <c r="F41" s="102">
        <f>+F59</f>
        <v>6.224800000000001</v>
      </c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</row>
    <row r="42" spans="1:18" s="16" customFormat="1" ht="17.25" customHeight="1">
      <c r="A42" s="137"/>
      <c r="B42" s="5" t="s">
        <v>594</v>
      </c>
      <c r="C42" s="5"/>
      <c r="F42" s="5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</row>
    <row r="43" spans="1:18" s="16" customFormat="1" ht="17.25" customHeight="1">
      <c r="A43" s="137"/>
      <c r="B43" s="5" t="s">
        <v>611</v>
      </c>
      <c r="C43" s="5">
        <f>+SUM(C38,D43:F43)</f>
        <v>369912.54601280013</v>
      </c>
      <c r="D43" s="16">
        <f>+D38*D$40</f>
        <v>84612</v>
      </c>
      <c r="E43" s="16">
        <f>+E38*E$40</f>
        <v>81364.800000000003</v>
      </c>
      <c r="F43" s="5">
        <f>+F38*E40</f>
        <v>603935.74601280014</v>
      </c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</row>
    <row r="44" spans="1:18" s="16" customFormat="1" ht="17.25" customHeight="1" thickBot="1">
      <c r="A44" s="137"/>
      <c r="B44" s="5" t="s">
        <v>612</v>
      </c>
      <c r="C44" s="5">
        <f>+SUM(C39,D44:F44)</f>
        <v>21766.800000000047</v>
      </c>
      <c r="D44" s="16">
        <f>+D39*D$40</f>
        <v>49998</v>
      </c>
      <c r="E44" s="16">
        <f>+E39*E$40</f>
        <v>48079.199999999997</v>
      </c>
      <c r="F44" s="5">
        <f>+F39*F41</f>
        <v>323689.60000000003</v>
      </c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</row>
    <row r="45" spans="1:18" s="16" customFormat="1" ht="17.25" customHeight="1" thickBot="1">
      <c r="A45" s="137"/>
      <c r="B45" s="5" t="s">
        <v>547</v>
      </c>
      <c r="C45" s="13">
        <f>+A38*C43+A39*C44</f>
        <v>265468.82220896007</v>
      </c>
      <c r="F45" s="5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</row>
    <row r="46" spans="1:18" s="16" customFormat="1" ht="17.25" customHeight="1">
      <c r="A46" s="137"/>
      <c r="B46" s="5"/>
      <c r="C46" s="5"/>
      <c r="F46" s="5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</row>
    <row r="47" spans="1:18" s="16" customFormat="1" ht="17.25" customHeight="1">
      <c r="A47" s="137"/>
      <c r="B47" s="5" t="s">
        <v>613</v>
      </c>
      <c r="C47" s="5"/>
      <c r="F47" s="5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</row>
    <row r="48" spans="1:18">
      <c r="D48" s="5" t="s">
        <v>545</v>
      </c>
    </row>
    <row r="49" spans="2:10">
      <c r="B49" s="5" t="s">
        <v>580</v>
      </c>
      <c r="D49" s="140">
        <v>0.6</v>
      </c>
    </row>
    <row r="50" spans="2:10">
      <c r="B50" s="5" t="s">
        <v>581</v>
      </c>
      <c r="D50" s="140">
        <v>0.1</v>
      </c>
    </row>
    <row r="51" spans="2:10">
      <c r="B51" s="5" t="s">
        <v>582</v>
      </c>
      <c r="D51" s="140">
        <v>0</v>
      </c>
    </row>
    <row r="52" spans="2:10">
      <c r="B52" s="5" t="s">
        <v>583</v>
      </c>
      <c r="D52" s="140">
        <v>0.3</v>
      </c>
    </row>
    <row r="54" spans="2:10">
      <c r="B54" s="5" t="s">
        <v>579</v>
      </c>
    </row>
    <row r="55" spans="2:10">
      <c r="C55" s="59" t="s">
        <v>587</v>
      </c>
      <c r="D55" s="18" t="s">
        <v>588</v>
      </c>
      <c r="E55" s="18" t="s">
        <v>589</v>
      </c>
      <c r="F55" s="18" t="s">
        <v>590</v>
      </c>
    </row>
    <row r="56" spans="2:10">
      <c r="B56" s="5" t="s">
        <v>584</v>
      </c>
      <c r="C56" s="74">
        <v>-1000000</v>
      </c>
      <c r="D56" s="76">
        <v>220000</v>
      </c>
      <c r="E56" s="76">
        <v>220000</v>
      </c>
      <c r="F56" s="76">
        <v>220000</v>
      </c>
    </row>
    <row r="57" spans="2:10">
      <c r="B57" s="5" t="s">
        <v>585</v>
      </c>
      <c r="C57" s="5">
        <v>-1000000</v>
      </c>
      <c r="D57" s="5">
        <v>220000</v>
      </c>
      <c r="E57" s="5">
        <v>220000</v>
      </c>
      <c r="F57" s="5">
        <v>76000</v>
      </c>
    </row>
    <row r="58" spans="2:10">
      <c r="B58" s="5" t="s">
        <v>586</v>
      </c>
      <c r="C58" s="5">
        <v>-1000000</v>
      </c>
      <c r="D58" s="5">
        <v>76000</v>
      </c>
      <c r="E58" s="5">
        <v>76000</v>
      </c>
      <c r="F58" s="5">
        <v>76000</v>
      </c>
    </row>
    <row r="59" spans="2:10">
      <c r="B59" s="5" t="s">
        <v>51</v>
      </c>
      <c r="D59" s="102">
        <v>0.96150000000000002</v>
      </c>
      <c r="E59" s="102">
        <v>0.92459999999999998</v>
      </c>
      <c r="F59" s="102">
        <f>8.1109-SUM(D59:E59)</f>
        <v>6.224800000000001</v>
      </c>
      <c r="J59" s="102"/>
    </row>
    <row r="61" spans="2:10">
      <c r="B61" s="5" t="s">
        <v>594</v>
      </c>
      <c r="F61" s="30"/>
    </row>
    <row r="62" spans="2:10">
      <c r="B62" s="5" t="s">
        <v>591</v>
      </c>
      <c r="C62" s="5">
        <f>+C56+SUM(D62:F62)</f>
        <v>784398.00000000023</v>
      </c>
      <c r="D62" s="5">
        <f>+D56*D$59</f>
        <v>211530</v>
      </c>
      <c r="E62" s="5">
        <f>+E56*E$59</f>
        <v>203412</v>
      </c>
      <c r="F62" s="5">
        <f>+F56*F$59</f>
        <v>1369456.0000000002</v>
      </c>
    </row>
    <row r="63" spans="2:10">
      <c r="B63" s="5" t="s">
        <v>592</v>
      </c>
      <c r="C63" s="5">
        <f>+C57+SUM(D63:F63)</f>
        <v>-111973.19999999995</v>
      </c>
      <c r="D63" s="5">
        <f t="shared" ref="D63:F63" si="4">+D57*D$59</f>
        <v>211530</v>
      </c>
      <c r="E63" s="5">
        <f t="shared" si="4"/>
        <v>203412</v>
      </c>
      <c r="F63" s="5">
        <f t="shared" si="4"/>
        <v>473084.8000000001</v>
      </c>
    </row>
    <row r="64" spans="2:10">
      <c r="B64" s="5" t="s">
        <v>593</v>
      </c>
      <c r="C64" s="5">
        <f>+C58+SUM(D64:F64)</f>
        <v>-383571.59999999986</v>
      </c>
      <c r="D64" s="5">
        <f t="shared" ref="D64:F64" si="5">+D58*D$59</f>
        <v>73074</v>
      </c>
      <c r="E64" s="5">
        <f t="shared" si="5"/>
        <v>70269.599999999991</v>
      </c>
      <c r="F64" s="5">
        <f t="shared" si="5"/>
        <v>473084.8000000001</v>
      </c>
    </row>
    <row r="65" spans="2:4" ht="17.25" thickBot="1"/>
    <row r="66" spans="2:4" ht="17.25" thickBot="1">
      <c r="B66" s="5" t="s">
        <v>595</v>
      </c>
      <c r="C66" s="13">
        <f>+C62*D49+C63*D50+C64*D52</f>
        <v>344370.00000000012</v>
      </c>
      <c r="D66" s="5" t="s">
        <v>614</v>
      </c>
    </row>
  </sheetData>
  <phoneticPr fontId="1"/>
  <pageMargins left="0.25" right="0.25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4"/>
  <sheetViews>
    <sheetView topLeftCell="A7" workbookViewId="0"/>
  </sheetViews>
  <sheetFormatPr defaultColWidth="10.5" defaultRowHeight="16.5"/>
  <cols>
    <col min="1" max="1" width="10.625" style="5" customWidth="1"/>
    <col min="2" max="2" width="11.5" style="5" customWidth="1"/>
    <col min="3" max="3" width="10.5" style="5"/>
    <col min="4" max="4" width="11.5" style="5" customWidth="1"/>
    <col min="5" max="16384" width="10.5" style="5"/>
  </cols>
  <sheetData>
    <row r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>
      <c r="A2" s="6" t="s">
        <v>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4">
      <c r="A3" s="9" t="s">
        <v>74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4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4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4">
      <c r="A6" s="22" t="s">
        <v>79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3"/>
    </row>
    <row r="7" spans="1:14">
      <c r="A7" s="24" t="s">
        <v>80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9" spans="1:14">
      <c r="C9" s="5" t="s">
        <v>17</v>
      </c>
      <c r="D9" s="5" t="s">
        <v>18</v>
      </c>
    </row>
    <row r="10" spans="1:14">
      <c r="B10" s="5" t="s">
        <v>3</v>
      </c>
      <c r="C10" s="5">
        <v>6300</v>
      </c>
      <c r="D10" s="5">
        <v>6300</v>
      </c>
      <c r="F10" s="5" t="s">
        <v>76</v>
      </c>
    </row>
    <row r="11" spans="1:14">
      <c r="B11" s="5" t="s">
        <v>19</v>
      </c>
      <c r="C11" s="5">
        <v>3150</v>
      </c>
      <c r="D11" s="5">
        <v>6300</v>
      </c>
      <c r="F11" s="5">
        <f>+C10/3</f>
        <v>2100</v>
      </c>
    </row>
    <row r="12" spans="1:14">
      <c r="B12" s="5" t="s">
        <v>20</v>
      </c>
      <c r="C12" s="5">
        <v>3150</v>
      </c>
      <c r="D12" s="5">
        <v>600</v>
      </c>
    </row>
    <row r="13" spans="1:14">
      <c r="B13" s="5" t="s">
        <v>21</v>
      </c>
      <c r="C13" s="5">
        <v>1750</v>
      </c>
      <c r="D13" s="5">
        <v>500</v>
      </c>
    </row>
    <row r="15" spans="1:14">
      <c r="A15" s="5" t="s">
        <v>75</v>
      </c>
    </row>
    <row r="17" spans="1:6">
      <c r="B17" s="5" t="s">
        <v>42</v>
      </c>
      <c r="C17" s="5" t="s">
        <v>17</v>
      </c>
      <c r="D17" s="5" t="s">
        <v>18</v>
      </c>
    </row>
    <row r="18" spans="1:6">
      <c r="B18" s="5" t="s">
        <v>63</v>
      </c>
      <c r="C18" s="5">
        <f>-C10</f>
        <v>-6300</v>
      </c>
      <c r="D18" s="5">
        <f>-D10</f>
        <v>-6300</v>
      </c>
    </row>
    <row r="19" spans="1:6" ht="12" customHeight="1">
      <c r="B19" s="5" t="s">
        <v>19</v>
      </c>
      <c r="C19" s="27">
        <f>+C11</f>
        <v>3150</v>
      </c>
      <c r="D19" s="27">
        <f t="shared" ref="D19:D21" si="0">+D11</f>
        <v>6300</v>
      </c>
    </row>
    <row r="20" spans="1:6">
      <c r="B20" s="5" t="s">
        <v>20</v>
      </c>
      <c r="C20" s="27">
        <f t="shared" ref="C20" si="1">+C12</f>
        <v>3150</v>
      </c>
      <c r="D20" s="5">
        <f t="shared" si="0"/>
        <v>600</v>
      </c>
    </row>
    <row r="21" spans="1:6">
      <c r="B21" s="5" t="s">
        <v>21</v>
      </c>
      <c r="C21" s="5">
        <f t="shared" ref="C21" si="2">+C13</f>
        <v>1750</v>
      </c>
      <c r="D21" s="5">
        <f t="shared" si="0"/>
        <v>500</v>
      </c>
    </row>
    <row r="22" spans="1:6" ht="17.25" thickBot="1"/>
    <row r="23" spans="1:6" ht="17.25" thickBot="1">
      <c r="B23" s="5" t="s">
        <v>43</v>
      </c>
      <c r="C23" s="44">
        <v>2</v>
      </c>
      <c r="D23" s="46">
        <v>1</v>
      </c>
      <c r="E23" s="5" t="s">
        <v>77</v>
      </c>
    </row>
    <row r="26" spans="1:6">
      <c r="A26" s="1" t="s">
        <v>47</v>
      </c>
    </row>
    <row r="29" spans="1:6">
      <c r="B29" s="5" t="s">
        <v>17</v>
      </c>
      <c r="C29" s="5" t="s">
        <v>48</v>
      </c>
      <c r="D29" s="5" t="s">
        <v>49</v>
      </c>
      <c r="E29" s="5" t="s">
        <v>30</v>
      </c>
      <c r="F29" s="5" t="s">
        <v>21</v>
      </c>
    </row>
    <row r="31" spans="1:6">
      <c r="B31" s="5" t="s">
        <v>52</v>
      </c>
      <c r="C31" s="12">
        <f>-C10</f>
        <v>-6300</v>
      </c>
      <c r="D31" s="18"/>
      <c r="E31" s="18"/>
      <c r="F31" s="18"/>
    </row>
    <row r="32" spans="1:6">
      <c r="B32" s="5" t="s">
        <v>50</v>
      </c>
      <c r="D32" s="40">
        <f>+C19</f>
        <v>3150</v>
      </c>
      <c r="E32" s="40">
        <f>+C20</f>
        <v>3150</v>
      </c>
      <c r="F32" s="40">
        <f>+C21</f>
        <v>1750</v>
      </c>
    </row>
    <row r="33" spans="2:6">
      <c r="B33" s="5" t="s">
        <v>54</v>
      </c>
    </row>
    <row r="34" spans="2:6">
      <c r="B34" s="5" t="s">
        <v>51</v>
      </c>
      <c r="D34" s="30">
        <v>0.90910000000000002</v>
      </c>
      <c r="E34" s="30">
        <v>0.82640000000000002</v>
      </c>
      <c r="F34" s="30">
        <v>0.75129999999999997</v>
      </c>
    </row>
    <row r="35" spans="2:6">
      <c r="B35" s="5" t="s">
        <v>53</v>
      </c>
      <c r="C35" s="5">
        <f>+SUM(D35:F35)</f>
        <v>6781.5999999999995</v>
      </c>
      <c r="D35" s="5">
        <f>+D32*D34</f>
        <v>2863.665</v>
      </c>
      <c r="E35" s="5">
        <f t="shared" ref="E35:F35" si="3">+E32*E34</f>
        <v>2603.16</v>
      </c>
      <c r="F35" s="5">
        <f t="shared" si="3"/>
        <v>1314.7749999999999</v>
      </c>
    </row>
    <row r="37" spans="2:6" ht="17.25" thickBot="1">
      <c r="B37" s="5" t="s">
        <v>78</v>
      </c>
      <c r="C37" s="48">
        <f>+SUM(C31:C36)</f>
        <v>481.59999999999945</v>
      </c>
    </row>
    <row r="38" spans="2:6" ht="17.25" thickTop="1"/>
    <row r="41" spans="2:6">
      <c r="B41" s="5" t="s">
        <v>18</v>
      </c>
      <c r="C41" s="5" t="s">
        <v>48</v>
      </c>
      <c r="D41" s="5" t="s">
        <v>49</v>
      </c>
      <c r="E41" s="5" t="s">
        <v>30</v>
      </c>
      <c r="F41" s="5" t="s">
        <v>21</v>
      </c>
    </row>
    <row r="43" spans="2:6">
      <c r="B43" s="5" t="s">
        <v>52</v>
      </c>
      <c r="C43" s="12">
        <f>-D10</f>
        <v>-6300</v>
      </c>
      <c r="D43" s="18"/>
      <c r="E43" s="18"/>
      <c r="F43" s="18"/>
    </row>
    <row r="44" spans="2:6">
      <c r="B44" s="5" t="s">
        <v>50</v>
      </c>
      <c r="D44" s="40">
        <f>+D19</f>
        <v>6300</v>
      </c>
      <c r="E44" s="40">
        <f>+D20</f>
        <v>600</v>
      </c>
      <c r="F44" s="40">
        <f>+D21</f>
        <v>500</v>
      </c>
    </row>
    <row r="45" spans="2:6">
      <c r="B45" s="5" t="s">
        <v>54</v>
      </c>
    </row>
    <row r="46" spans="2:6">
      <c r="B46" s="5" t="s">
        <v>51</v>
      </c>
      <c r="D46" s="30">
        <v>0.90910000000000002</v>
      </c>
      <c r="E46" s="30">
        <v>0.82640000000000002</v>
      </c>
      <c r="F46" s="30">
        <v>0.75129999999999997</v>
      </c>
    </row>
    <row r="47" spans="2:6">
      <c r="B47" s="5" t="s">
        <v>53</v>
      </c>
      <c r="C47" s="5">
        <f>+SUM(D47:G47)</f>
        <v>6598.82</v>
      </c>
      <c r="D47" s="42">
        <f>+D44*D46</f>
        <v>5727.33</v>
      </c>
      <c r="E47" s="42">
        <f t="shared" ref="E47:F47" si="4">+E44*E46</f>
        <v>495.84000000000003</v>
      </c>
      <c r="F47" s="42">
        <f t="shared" si="4"/>
        <v>375.65</v>
      </c>
    </row>
    <row r="49" spans="1:7" ht="17.25" thickBot="1">
      <c r="B49" s="5" t="s">
        <v>78</v>
      </c>
      <c r="C49" s="48">
        <f>+SUM(C43:C48)</f>
        <v>298.81999999999971</v>
      </c>
    </row>
    <row r="50" spans="1:7" ht="17.25" thickTop="1"/>
    <row r="52" spans="1:7">
      <c r="A52" s="5" t="s">
        <v>68</v>
      </c>
    </row>
    <row r="53" spans="1:7" ht="17.25" thickBot="1">
      <c r="C53" s="5" t="s">
        <v>17</v>
      </c>
      <c r="D53" s="5" t="s">
        <v>18</v>
      </c>
    </row>
    <row r="54" spans="1:7" ht="17.25" thickBot="1">
      <c r="B54" s="5" t="s">
        <v>69</v>
      </c>
      <c r="C54" s="45">
        <f>+SUM(C35:C36)/C10</f>
        <v>1.0764444444444443</v>
      </c>
      <c r="D54" s="47">
        <f>+SUM(C47:C48)/D10</f>
        <v>1.0474317460317459</v>
      </c>
      <c r="E54" s="5" t="s">
        <v>70</v>
      </c>
    </row>
    <row r="55" spans="1:7">
      <c r="E55" s="5" t="s">
        <v>71</v>
      </c>
    </row>
    <row r="58" spans="1:7">
      <c r="A58" s="5" t="s">
        <v>67</v>
      </c>
    </row>
    <row r="59" spans="1:7">
      <c r="B59" s="5" t="s">
        <v>60</v>
      </c>
    </row>
    <row r="60" spans="1:7">
      <c r="B60" s="5" t="s">
        <v>61</v>
      </c>
    </row>
    <row r="62" spans="1:7" ht="17.25" thickBot="1">
      <c r="C62" s="5" t="s">
        <v>17</v>
      </c>
      <c r="D62" s="5" t="s">
        <v>18</v>
      </c>
    </row>
    <row r="63" spans="1:7" ht="17.25" thickBot="1">
      <c r="B63" s="5" t="s">
        <v>64</v>
      </c>
      <c r="C63" s="36">
        <f>+IRR(C18:C21)</f>
        <v>0.14703424228385353</v>
      </c>
      <c r="D63" s="37">
        <f>+IRR(D18:D21)</f>
        <v>0.14390891341491163</v>
      </c>
      <c r="G63" s="5" t="s">
        <v>65</v>
      </c>
    </row>
    <row r="64" spans="1:7" ht="18.75">
      <c r="G64" s="29" t="s">
        <v>66</v>
      </c>
    </row>
  </sheetData>
  <phoneticPr fontId="1"/>
  <hyperlinks>
    <hyperlink ref="G64" r:id="rId1" xr:uid="{00000000-0004-0000-0200-000000000000}"/>
  </hyperlinks>
  <pageMargins left="0.25" right="0.25" top="0.75" bottom="0.75" header="0.3" footer="0.3"/>
  <pageSetup paperSize="9" scale="65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5"/>
  <sheetViews>
    <sheetView workbookViewId="0"/>
  </sheetViews>
  <sheetFormatPr defaultColWidth="10.5" defaultRowHeight="16.5"/>
  <cols>
    <col min="1" max="1" width="10.625" style="5" customWidth="1"/>
    <col min="2" max="2" width="11.5" style="5" customWidth="1"/>
    <col min="3" max="3" width="11.125" style="5" bestFit="1" customWidth="1"/>
    <col min="4" max="4" width="11.5" style="5" customWidth="1"/>
    <col min="5" max="7" width="10.5" style="5"/>
    <col min="8" max="8" width="10.375" style="5" customWidth="1"/>
    <col min="9" max="16384" width="10.5" style="5"/>
  </cols>
  <sheetData>
    <row r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>
      <c r="A2" s="6" t="s">
        <v>81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4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4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4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4">
      <c r="A6" s="22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3"/>
    </row>
    <row r="7" spans="1:14">
      <c r="A7" s="24" t="s">
        <v>83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9" spans="1:14">
      <c r="B9" s="16" t="s">
        <v>42</v>
      </c>
      <c r="G9" s="67" t="s">
        <v>100</v>
      </c>
      <c r="H9" s="67"/>
      <c r="I9" s="67"/>
      <c r="J9" s="67"/>
    </row>
    <row r="10" spans="1:14">
      <c r="B10" s="16"/>
      <c r="C10" s="16" t="s">
        <v>84</v>
      </c>
      <c r="D10" s="16"/>
      <c r="E10" s="16" t="s">
        <v>93</v>
      </c>
      <c r="F10" s="16"/>
      <c r="G10" s="16" t="s">
        <v>87</v>
      </c>
      <c r="H10" s="16"/>
      <c r="I10" s="16"/>
    </row>
    <row r="11" spans="1:14">
      <c r="B11" s="16" t="s">
        <v>3</v>
      </c>
      <c r="C11" s="16">
        <v>200000000</v>
      </c>
      <c r="D11" s="16"/>
      <c r="E11" s="16">
        <f>+C11*0.1</f>
        <v>20000000</v>
      </c>
      <c r="F11" s="16"/>
      <c r="G11" s="16" t="s">
        <v>86</v>
      </c>
      <c r="I11" s="16" t="s">
        <v>85</v>
      </c>
    </row>
    <row r="12" spans="1:14">
      <c r="B12" s="5" t="s">
        <v>94</v>
      </c>
      <c r="C12" s="16">
        <f>-C11</f>
        <v>-200000000</v>
      </c>
      <c r="D12" s="16"/>
      <c r="E12" s="16"/>
      <c r="F12" s="16"/>
      <c r="G12" s="52" t="s">
        <v>89</v>
      </c>
      <c r="H12" s="53">
        <v>50000000</v>
      </c>
      <c r="I12" s="52" t="s">
        <v>88</v>
      </c>
      <c r="J12" s="54">
        <v>80000000</v>
      </c>
    </row>
    <row r="13" spans="1:14">
      <c r="B13" s="16" t="s">
        <v>19</v>
      </c>
      <c r="C13" s="16">
        <f>+$H$20</f>
        <v>25200000</v>
      </c>
      <c r="D13" s="16"/>
      <c r="E13" s="16"/>
      <c r="F13" s="16"/>
      <c r="G13" s="55"/>
      <c r="H13" s="56"/>
      <c r="I13" s="55"/>
      <c r="J13" s="57"/>
    </row>
    <row r="14" spans="1:14">
      <c r="B14" s="16" t="s">
        <v>20</v>
      </c>
      <c r="C14" s="16">
        <f t="shared" ref="C14:C21" si="0">+$H$20</f>
        <v>25200000</v>
      </c>
      <c r="D14" s="16"/>
      <c r="E14" s="16"/>
      <c r="F14" s="16"/>
      <c r="G14" s="60" t="s">
        <v>76</v>
      </c>
      <c r="H14" s="61">
        <f>+(C11-E11)/10</f>
        <v>18000000</v>
      </c>
      <c r="I14" s="55"/>
      <c r="J14" s="57"/>
    </row>
    <row r="15" spans="1:14">
      <c r="B15" s="16" t="s">
        <v>21</v>
      </c>
      <c r="C15" s="16">
        <f t="shared" si="0"/>
        <v>25200000</v>
      </c>
      <c r="D15" s="16"/>
      <c r="E15" s="16"/>
      <c r="F15" s="16"/>
      <c r="G15" s="62"/>
      <c r="H15" s="63"/>
      <c r="I15" s="55"/>
      <c r="J15" s="57"/>
    </row>
    <row r="16" spans="1:14">
      <c r="B16" s="16" t="s">
        <v>22</v>
      </c>
      <c r="C16" s="16">
        <f t="shared" si="0"/>
        <v>25200000</v>
      </c>
      <c r="D16" s="16"/>
      <c r="E16" s="16"/>
      <c r="F16" s="16"/>
      <c r="G16" s="55" t="s">
        <v>90</v>
      </c>
      <c r="H16" s="56">
        <f>+J12-H12-H14</f>
        <v>12000000</v>
      </c>
      <c r="I16" s="55"/>
      <c r="J16" s="57"/>
    </row>
    <row r="17" spans="2:11">
      <c r="B17" s="16" t="s">
        <v>23</v>
      </c>
      <c r="C17" s="16">
        <f t="shared" si="0"/>
        <v>25200000</v>
      </c>
      <c r="D17" s="16"/>
      <c r="E17" s="16"/>
      <c r="F17" s="16"/>
      <c r="G17" s="55" t="s">
        <v>91</v>
      </c>
      <c r="H17" s="64" t="s">
        <v>92</v>
      </c>
      <c r="I17" s="55"/>
      <c r="J17" s="57"/>
    </row>
    <row r="18" spans="2:11">
      <c r="B18" s="16" t="s">
        <v>101</v>
      </c>
      <c r="C18" s="16">
        <f t="shared" si="0"/>
        <v>25200000</v>
      </c>
      <c r="D18" s="16"/>
      <c r="E18" s="16"/>
      <c r="F18" s="16"/>
      <c r="G18" s="58">
        <f>+H16*0.4</f>
        <v>4800000</v>
      </c>
      <c r="H18" s="65">
        <f>+H16-G18</f>
        <v>7200000</v>
      </c>
      <c r="I18" s="58"/>
      <c r="J18" s="59"/>
    </row>
    <row r="19" spans="2:11" ht="17.25" thickBot="1">
      <c r="B19" s="16" t="s">
        <v>102</v>
      </c>
      <c r="C19" s="16">
        <f t="shared" si="0"/>
        <v>25200000</v>
      </c>
      <c r="D19" s="16"/>
      <c r="E19" s="16"/>
      <c r="F19" s="16"/>
      <c r="G19" s="16"/>
      <c r="H19" s="16"/>
    </row>
    <row r="20" spans="2:11" ht="17.25" thickBot="1">
      <c r="B20" s="16" t="s">
        <v>103</v>
      </c>
      <c r="C20" s="16">
        <f t="shared" si="0"/>
        <v>25200000</v>
      </c>
      <c r="D20" s="16"/>
      <c r="E20" s="16"/>
      <c r="F20" s="5" t="s">
        <v>95</v>
      </c>
      <c r="G20" s="16"/>
      <c r="H20" s="66">
        <f>+H14+H18</f>
        <v>25200000</v>
      </c>
      <c r="I20" s="5" t="s">
        <v>96</v>
      </c>
    </row>
    <row r="21" spans="2:11">
      <c r="B21" s="16" t="s">
        <v>104</v>
      </c>
      <c r="C21" s="16">
        <f t="shared" si="0"/>
        <v>25200000</v>
      </c>
      <c r="D21" s="16" t="s">
        <v>116</v>
      </c>
      <c r="E21" s="16"/>
      <c r="F21" s="16"/>
      <c r="G21" s="16"/>
      <c r="H21" s="16"/>
      <c r="I21" s="5" t="s">
        <v>97</v>
      </c>
    </row>
    <row r="22" spans="2:11">
      <c r="B22" s="16" t="s">
        <v>106</v>
      </c>
      <c r="C22" s="16">
        <f>+H20</f>
        <v>25200000</v>
      </c>
      <c r="D22" s="16">
        <f>+J34</f>
        <v>11600000</v>
      </c>
      <c r="E22" s="16"/>
      <c r="F22" s="16"/>
      <c r="G22" s="16"/>
      <c r="H22" s="16"/>
      <c r="I22" s="5" t="s">
        <v>98</v>
      </c>
    </row>
    <row r="23" spans="2:11">
      <c r="B23" s="16"/>
      <c r="C23" s="16"/>
      <c r="D23" s="16"/>
      <c r="E23" s="16"/>
      <c r="F23" s="16"/>
      <c r="G23" s="16"/>
      <c r="H23" s="16"/>
      <c r="I23" s="5" t="s">
        <v>99</v>
      </c>
    </row>
    <row r="24" spans="2:11">
      <c r="B24" s="16"/>
      <c r="C24" s="16"/>
      <c r="D24" s="16"/>
      <c r="E24" s="16"/>
      <c r="F24" s="16"/>
      <c r="G24" s="16"/>
      <c r="H24" s="16"/>
    </row>
    <row r="25" spans="2:11">
      <c r="B25" s="16"/>
      <c r="C25" s="16"/>
      <c r="D25" s="16"/>
      <c r="E25" s="16"/>
      <c r="F25" s="16"/>
      <c r="G25" s="67" t="s">
        <v>107</v>
      </c>
      <c r="H25" s="67"/>
      <c r="I25" s="67"/>
      <c r="J25" s="67"/>
    </row>
    <row r="26" spans="2:11">
      <c r="B26" s="16"/>
      <c r="C26" s="16"/>
      <c r="D26" s="16"/>
      <c r="E26" s="16"/>
      <c r="F26" s="16"/>
      <c r="G26" s="16"/>
      <c r="H26" s="16"/>
      <c r="I26" s="42" t="s">
        <v>117</v>
      </c>
    </row>
    <row r="27" spans="2:11">
      <c r="B27" s="16"/>
      <c r="C27" s="16"/>
      <c r="D27" s="16"/>
      <c r="E27" s="16"/>
      <c r="F27" s="16"/>
      <c r="G27" s="16" t="s">
        <v>86</v>
      </c>
      <c r="I27" s="16" t="s">
        <v>85</v>
      </c>
    </row>
    <row r="28" spans="2:11">
      <c r="B28" s="16"/>
      <c r="C28" s="16"/>
      <c r="D28" s="16"/>
      <c r="E28" s="16"/>
      <c r="F28" s="16"/>
      <c r="G28" s="52" t="s">
        <v>108</v>
      </c>
      <c r="H28" s="53">
        <v>20000000</v>
      </c>
      <c r="I28" s="52" t="s">
        <v>109</v>
      </c>
      <c r="J28" s="61">
        <v>6000000</v>
      </c>
      <c r="K28" s="5" t="s">
        <v>113</v>
      </c>
    </row>
    <row r="29" spans="2:11">
      <c r="B29" s="16"/>
      <c r="C29" s="16"/>
      <c r="D29" s="16"/>
      <c r="E29" s="16"/>
      <c r="F29" s="16"/>
      <c r="G29" s="55"/>
      <c r="H29" s="56"/>
      <c r="I29" s="58"/>
      <c r="J29" s="59"/>
    </row>
    <row r="30" spans="2:11">
      <c r="B30" s="16"/>
      <c r="C30" s="16"/>
      <c r="D30" s="16"/>
      <c r="E30" s="16"/>
      <c r="F30" s="16"/>
      <c r="G30" s="55"/>
      <c r="H30" s="56"/>
      <c r="I30" s="55" t="s">
        <v>112</v>
      </c>
      <c r="J30" s="57">
        <f>+H28-J28</f>
        <v>14000000</v>
      </c>
    </row>
    <row r="31" spans="2:11">
      <c r="B31" s="16"/>
      <c r="C31" s="16"/>
      <c r="D31" s="16"/>
      <c r="E31" s="16"/>
      <c r="F31" s="16"/>
      <c r="G31" s="55"/>
      <c r="H31" s="56"/>
      <c r="I31" s="55" t="s">
        <v>110</v>
      </c>
      <c r="J31" s="57" t="s">
        <v>111</v>
      </c>
    </row>
    <row r="32" spans="2:11">
      <c r="B32" s="16"/>
      <c r="C32" s="16"/>
      <c r="D32" s="16"/>
      <c r="E32" s="16"/>
      <c r="F32" s="16"/>
      <c r="G32" s="58"/>
      <c r="H32" s="49"/>
      <c r="I32" s="62">
        <f>+J30*0.4</f>
        <v>5600000</v>
      </c>
      <c r="J32" s="59">
        <f>+J30-I32</f>
        <v>8400000</v>
      </c>
    </row>
    <row r="33" spans="2:13" ht="17.25" thickBot="1">
      <c r="B33" s="16"/>
      <c r="C33" s="16"/>
      <c r="D33" s="16"/>
      <c r="E33" s="16"/>
      <c r="F33" s="16"/>
      <c r="G33" s="16"/>
      <c r="H33" s="16"/>
      <c r="I33" s="5" t="s">
        <v>114</v>
      </c>
    </row>
    <row r="34" spans="2:13" ht="17.25" thickBot="1">
      <c r="B34" s="16"/>
      <c r="C34" s="16"/>
      <c r="D34" s="16"/>
      <c r="E34" s="16"/>
      <c r="F34" s="16"/>
      <c r="G34" s="16"/>
      <c r="H34" s="16"/>
      <c r="J34" s="13">
        <f>+J28+I32</f>
        <v>11600000</v>
      </c>
      <c r="K34" s="5" t="s">
        <v>115</v>
      </c>
    </row>
    <row r="35" spans="2:13">
      <c r="B35" s="16"/>
      <c r="C35" s="16"/>
      <c r="D35" s="16"/>
      <c r="E35" s="16"/>
      <c r="F35" s="16"/>
      <c r="G35" s="16"/>
      <c r="H35" s="16"/>
    </row>
    <row r="36" spans="2:13">
      <c r="B36" s="16"/>
      <c r="C36" s="16"/>
      <c r="D36" s="16"/>
      <c r="E36" s="16"/>
      <c r="F36" s="16"/>
      <c r="G36" s="16"/>
      <c r="H36" s="16"/>
    </row>
    <row r="37" spans="2:13">
      <c r="B37" s="16" t="s">
        <v>17</v>
      </c>
      <c r="C37" s="16" t="s">
        <v>48</v>
      </c>
      <c r="D37" s="16" t="s">
        <v>49</v>
      </c>
      <c r="E37" s="16" t="s">
        <v>20</v>
      </c>
      <c r="F37" s="16" t="s">
        <v>21</v>
      </c>
      <c r="G37" s="16" t="s">
        <v>22</v>
      </c>
      <c r="H37" s="16" t="s">
        <v>23</v>
      </c>
      <c r="I37" s="16" t="s">
        <v>101</v>
      </c>
      <c r="J37" s="16" t="s">
        <v>102</v>
      </c>
      <c r="K37" s="16" t="s">
        <v>103</v>
      </c>
      <c r="L37" s="16" t="s">
        <v>104</v>
      </c>
      <c r="M37" s="16" t="s">
        <v>105</v>
      </c>
    </row>
    <row r="38" spans="2:13">
      <c r="B38" s="16"/>
      <c r="C38" s="16"/>
      <c r="D38" s="16"/>
      <c r="E38" s="16"/>
      <c r="F38" s="16"/>
    </row>
    <row r="39" spans="2:13">
      <c r="B39" s="16" t="s">
        <v>52</v>
      </c>
      <c r="C39" s="68">
        <f>+C12</f>
        <v>-200000000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2:13">
      <c r="B40" s="16" t="s">
        <v>50</v>
      </c>
      <c r="C40" s="69"/>
      <c r="D40" s="51">
        <f>+C13</f>
        <v>25200000</v>
      </c>
      <c r="E40" s="51">
        <f>+D40</f>
        <v>25200000</v>
      </c>
      <c r="F40" s="51">
        <f t="shared" ref="F40:L40" si="1">+E40</f>
        <v>25200000</v>
      </c>
      <c r="G40" s="51">
        <f t="shared" si="1"/>
        <v>25200000</v>
      </c>
      <c r="H40" s="51">
        <f t="shared" si="1"/>
        <v>25200000</v>
      </c>
      <c r="I40" s="51">
        <f t="shared" si="1"/>
        <v>25200000</v>
      </c>
      <c r="J40" s="51">
        <f t="shared" si="1"/>
        <v>25200000</v>
      </c>
      <c r="K40" s="51">
        <f t="shared" si="1"/>
        <v>25200000</v>
      </c>
      <c r="L40" s="51">
        <f t="shared" si="1"/>
        <v>25200000</v>
      </c>
      <c r="M40" s="51">
        <f>+C22</f>
        <v>25200000</v>
      </c>
    </row>
    <row r="41" spans="2:13">
      <c r="B41" s="16" t="s">
        <v>54</v>
      </c>
      <c r="C41" s="69"/>
      <c r="D41" s="16"/>
      <c r="E41" s="16"/>
      <c r="F41" s="16"/>
      <c r="M41" s="5">
        <f>+J34</f>
        <v>11600000</v>
      </c>
    </row>
    <row r="42" spans="2:13">
      <c r="B42" s="16" t="s">
        <v>51</v>
      </c>
      <c r="C42" s="69"/>
      <c r="D42" s="155">
        <v>7.7217000000000002</v>
      </c>
      <c r="E42" s="156"/>
      <c r="F42" s="156"/>
      <c r="G42" s="156"/>
      <c r="H42" s="156"/>
      <c r="I42" s="156"/>
      <c r="J42" s="156"/>
      <c r="K42" s="156"/>
      <c r="L42" s="156"/>
      <c r="M42" s="157"/>
    </row>
    <row r="43" spans="2:13">
      <c r="B43" s="16" t="s">
        <v>53</v>
      </c>
      <c r="C43" s="69">
        <f>+D40*D42</f>
        <v>194586840</v>
      </c>
      <c r="D43" s="16"/>
      <c r="E43" s="16"/>
      <c r="F43" s="16"/>
      <c r="M43" s="30">
        <v>0.6139</v>
      </c>
    </row>
    <row r="44" spans="2:13" ht="17.25" thickBot="1">
      <c r="B44" s="16"/>
      <c r="C44" s="69">
        <f>+M41*M43</f>
        <v>7121240</v>
      </c>
      <c r="D44" s="16"/>
      <c r="E44" s="16"/>
      <c r="F44" s="16"/>
    </row>
    <row r="45" spans="2:13" ht="17.25" thickBot="1">
      <c r="B45" s="16" t="s">
        <v>78</v>
      </c>
      <c r="C45" s="66">
        <f>+SUM(C39:C44)</f>
        <v>1708080</v>
      </c>
      <c r="D45" s="16" t="s">
        <v>118</v>
      </c>
      <c r="E45" s="16"/>
      <c r="F45" s="16"/>
    </row>
  </sheetData>
  <mergeCells count="1">
    <mergeCell ref="D42:M42"/>
  </mergeCells>
  <phoneticPr fontId="1"/>
  <pageMargins left="0.25" right="0.25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5"/>
  <sheetViews>
    <sheetView topLeftCell="A7" workbookViewId="0"/>
  </sheetViews>
  <sheetFormatPr defaultColWidth="10.5" defaultRowHeight="16.5"/>
  <cols>
    <col min="1" max="1" width="10.625" style="5" customWidth="1"/>
    <col min="2" max="2" width="11.5" style="5" customWidth="1"/>
    <col min="3" max="3" width="11.125" style="5" bestFit="1" customWidth="1"/>
    <col min="4" max="4" width="11.5" style="5" customWidth="1"/>
    <col min="5" max="7" width="10.5" style="5"/>
    <col min="8" max="8" width="10.375" style="5" customWidth="1"/>
    <col min="9" max="16384" width="10.5" style="5"/>
  </cols>
  <sheetData>
    <row r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>
      <c r="A2" s="6" t="s">
        <v>81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4">
      <c r="A3" s="9" t="s">
        <v>119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4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4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4">
      <c r="A6" s="22" t="s">
        <v>120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3"/>
    </row>
    <row r="7" spans="1:14">
      <c r="A7" s="24" t="s">
        <v>160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9" spans="1:14">
      <c r="A9" s="5" t="s">
        <v>121</v>
      </c>
      <c r="B9" s="16"/>
    </row>
    <row r="10" spans="1:14">
      <c r="B10" s="16"/>
      <c r="C10" s="16"/>
      <c r="D10" s="16"/>
      <c r="E10" s="16"/>
    </row>
    <row r="11" spans="1:14">
      <c r="B11" s="16"/>
      <c r="C11" s="16" t="s">
        <v>122</v>
      </c>
      <c r="D11" s="16" t="s">
        <v>123</v>
      </c>
      <c r="E11" s="16"/>
      <c r="F11" s="5" t="s">
        <v>143</v>
      </c>
    </row>
    <row r="12" spans="1:14">
      <c r="A12" s="5" t="s">
        <v>124</v>
      </c>
      <c r="C12" s="16">
        <v>60000000</v>
      </c>
      <c r="D12" s="16">
        <v>100000000</v>
      </c>
      <c r="E12" s="16"/>
      <c r="H12" s="5" t="s">
        <v>146</v>
      </c>
      <c r="I12" s="5" t="s">
        <v>145</v>
      </c>
      <c r="J12" s="5" t="s">
        <v>148</v>
      </c>
    </row>
    <row r="13" spans="1:14">
      <c r="A13" s="5" t="s">
        <v>125</v>
      </c>
      <c r="B13" s="16"/>
      <c r="C13" s="16">
        <v>27000000</v>
      </c>
      <c r="D13" s="16"/>
      <c r="E13" s="16"/>
      <c r="F13" s="5" t="s">
        <v>144</v>
      </c>
      <c r="H13" s="5">
        <v>80000000</v>
      </c>
      <c r="I13" s="5">
        <v>60000000</v>
      </c>
      <c r="J13" s="5">
        <f>+H13-I13</f>
        <v>20000000</v>
      </c>
      <c r="K13" s="5" t="s">
        <v>149</v>
      </c>
    </row>
    <row r="14" spans="1:14">
      <c r="A14" s="5" t="s">
        <v>126</v>
      </c>
      <c r="B14" s="16"/>
      <c r="C14" s="16">
        <f>+C12-C13</f>
        <v>33000000</v>
      </c>
      <c r="D14" s="16"/>
      <c r="E14" s="16"/>
      <c r="F14" s="5" t="s">
        <v>147</v>
      </c>
      <c r="H14" s="5">
        <f>+C12*0.9/10</f>
        <v>5400000</v>
      </c>
      <c r="I14" s="5">
        <f>+D12*0.9/5</f>
        <v>18000000</v>
      </c>
      <c r="J14" s="5">
        <f>+I14-H14</f>
        <v>12600000</v>
      </c>
      <c r="K14" s="5" t="s">
        <v>150</v>
      </c>
    </row>
    <row r="15" spans="1:14">
      <c r="B15" s="16"/>
      <c r="C15" s="16"/>
      <c r="D15" s="16"/>
      <c r="E15" s="16"/>
    </row>
    <row r="16" spans="1:14">
      <c r="A16" s="5" t="s">
        <v>127</v>
      </c>
      <c r="B16" s="16"/>
      <c r="C16" s="16">
        <v>20000000</v>
      </c>
      <c r="D16" s="16"/>
      <c r="E16" s="16"/>
      <c r="G16" s="5" t="s">
        <v>154</v>
      </c>
      <c r="I16" s="5" t="s">
        <v>153</v>
      </c>
    </row>
    <row r="17" spans="1:10">
      <c r="A17" s="5" t="s">
        <v>128</v>
      </c>
      <c r="B17" s="16"/>
      <c r="C17" s="16">
        <v>2000000</v>
      </c>
      <c r="D17" s="16"/>
      <c r="E17" s="16"/>
      <c r="G17" s="60" t="s">
        <v>152</v>
      </c>
      <c r="H17" s="61">
        <f>+J14</f>
        <v>12600000</v>
      </c>
      <c r="I17" s="73" t="s">
        <v>151</v>
      </c>
      <c r="J17" s="74">
        <f>+J13</f>
        <v>20000000</v>
      </c>
    </row>
    <row r="18" spans="1:10">
      <c r="A18" s="5" t="s">
        <v>129</v>
      </c>
      <c r="B18" s="16"/>
      <c r="C18" s="16" t="s">
        <v>159</v>
      </c>
      <c r="D18" s="16" t="s">
        <v>159</v>
      </c>
      <c r="E18" s="16"/>
      <c r="G18" s="62"/>
      <c r="H18" s="63"/>
      <c r="I18" s="55"/>
      <c r="J18" s="57"/>
    </row>
    <row r="19" spans="1:10">
      <c r="B19" s="16"/>
      <c r="C19" s="16"/>
      <c r="D19" s="16"/>
      <c r="E19" s="16"/>
      <c r="G19" s="55" t="s">
        <v>90</v>
      </c>
      <c r="H19" s="56">
        <f>+J17-H17</f>
        <v>7400000</v>
      </c>
      <c r="I19" s="55"/>
      <c r="J19" s="57"/>
    </row>
    <row r="20" spans="1:10">
      <c r="B20" s="16"/>
      <c r="C20" s="16"/>
      <c r="D20" s="16"/>
      <c r="E20" s="16"/>
      <c r="G20" s="55" t="s">
        <v>91</v>
      </c>
      <c r="H20" s="64" t="s">
        <v>92</v>
      </c>
      <c r="I20" s="55"/>
      <c r="J20" s="57"/>
    </row>
    <row r="21" spans="1:10">
      <c r="B21" s="16"/>
      <c r="C21" s="16"/>
      <c r="D21" s="16"/>
      <c r="E21" s="16"/>
      <c r="G21" s="58">
        <f>+H19*0.4</f>
        <v>2960000</v>
      </c>
      <c r="H21" s="65">
        <f>+H19-G21</f>
        <v>4440000</v>
      </c>
      <c r="I21" s="58"/>
      <c r="J21" s="59"/>
    </row>
    <row r="22" spans="1:10" ht="17.25" thickBot="1">
      <c r="C22" s="16"/>
      <c r="D22" s="16"/>
      <c r="E22" s="16"/>
    </row>
    <row r="23" spans="1:10" ht="17.25" thickBot="1">
      <c r="B23" s="16"/>
      <c r="C23" s="16"/>
      <c r="D23" s="16"/>
      <c r="E23" s="16"/>
      <c r="H23" s="77">
        <f>+H17+H21</f>
        <v>17040000</v>
      </c>
      <c r="I23" s="5" t="s">
        <v>155</v>
      </c>
    </row>
    <row r="24" spans="1:10">
      <c r="B24" s="16" t="s">
        <v>130</v>
      </c>
      <c r="C24" s="16"/>
      <c r="D24" s="16"/>
      <c r="E24" s="16"/>
    </row>
    <row r="25" spans="1:10">
      <c r="B25" s="16"/>
      <c r="C25" s="16" t="s">
        <v>131</v>
      </c>
      <c r="D25" s="16" t="s">
        <v>156</v>
      </c>
      <c r="E25" s="16" t="s">
        <v>157</v>
      </c>
      <c r="F25" s="16" t="s">
        <v>21</v>
      </c>
      <c r="G25" s="16" t="s">
        <v>22</v>
      </c>
      <c r="H25" s="16" t="s">
        <v>23</v>
      </c>
    </row>
    <row r="26" spans="1:10">
      <c r="B26" s="16"/>
      <c r="C26" s="16"/>
      <c r="D26" s="16"/>
      <c r="E26" s="16"/>
    </row>
    <row r="27" spans="1:10">
      <c r="B27" s="16" t="s">
        <v>132</v>
      </c>
      <c r="C27" s="16">
        <v>-100000000</v>
      </c>
      <c r="D27" s="16"/>
      <c r="E27" s="16"/>
    </row>
    <row r="28" spans="1:10">
      <c r="B28" s="16" t="s">
        <v>133</v>
      </c>
      <c r="C28" s="16">
        <v>30000000</v>
      </c>
      <c r="D28" s="16"/>
      <c r="E28" s="16"/>
    </row>
    <row r="29" spans="1:10">
      <c r="B29" s="16" t="s">
        <v>134</v>
      </c>
      <c r="C29" s="16">
        <f>+C16</f>
        <v>20000000</v>
      </c>
      <c r="D29" s="16"/>
      <c r="E29" s="16"/>
    </row>
    <row r="30" spans="1:10">
      <c r="B30" s="16" t="s">
        <v>135</v>
      </c>
      <c r="C30" s="16">
        <f>+D30*0.9524</f>
        <v>4952480</v>
      </c>
      <c r="D30" s="16">
        <f>+(C14-C29)*0.4</f>
        <v>5200000</v>
      </c>
      <c r="E30" s="16"/>
    </row>
    <row r="31" spans="1:10">
      <c r="B31" s="16" t="s">
        <v>52</v>
      </c>
      <c r="C31" s="63">
        <f>SUM(C27:C30)</f>
        <v>-45047520</v>
      </c>
      <c r="D31" s="50"/>
      <c r="E31" s="50"/>
      <c r="F31" s="18"/>
      <c r="G31" s="18"/>
      <c r="H31" s="18"/>
    </row>
    <row r="32" spans="1:10">
      <c r="B32" s="16" t="s">
        <v>50</v>
      </c>
      <c r="C32" s="54"/>
      <c r="D32" s="75">
        <f>+$H$23</f>
        <v>17040000</v>
      </c>
      <c r="E32" s="75">
        <f t="shared" ref="E32:H32" si="0">+$H$23</f>
        <v>17040000</v>
      </c>
      <c r="F32" s="76">
        <f t="shared" si="0"/>
        <v>17040000</v>
      </c>
      <c r="G32" s="76">
        <f t="shared" si="0"/>
        <v>17040000</v>
      </c>
      <c r="H32" s="76">
        <f t="shared" si="0"/>
        <v>17040000</v>
      </c>
    </row>
    <row r="33" spans="2:11">
      <c r="B33" s="16" t="s">
        <v>54</v>
      </c>
      <c r="C33" s="16"/>
      <c r="D33" s="16"/>
      <c r="E33" s="16"/>
      <c r="H33" s="5">
        <f>+K44</f>
        <v>-26600000</v>
      </c>
    </row>
    <row r="34" spans="2:11">
      <c r="B34" s="16" t="s">
        <v>51</v>
      </c>
      <c r="C34" s="16"/>
      <c r="D34" s="155">
        <v>4.3295000000000003</v>
      </c>
      <c r="E34" s="156"/>
      <c r="F34" s="156"/>
      <c r="G34" s="156"/>
      <c r="H34" s="157"/>
    </row>
    <row r="35" spans="2:11">
      <c r="B35" s="16" t="s">
        <v>53</v>
      </c>
      <c r="C35" s="16">
        <f>+D32*D34</f>
        <v>73774680</v>
      </c>
      <c r="D35" s="16"/>
      <c r="E35" s="16"/>
      <c r="H35" s="30">
        <v>0.78349999999999997</v>
      </c>
    </row>
    <row r="36" spans="2:11">
      <c r="B36" s="16"/>
      <c r="C36" s="16">
        <f>+H33*H35</f>
        <v>-20841100</v>
      </c>
      <c r="D36" s="16"/>
      <c r="E36" s="16"/>
    </row>
    <row r="37" spans="2:11" ht="17.25" thickBot="1">
      <c r="B37" s="16"/>
      <c r="C37" s="16"/>
      <c r="D37" s="16"/>
      <c r="E37" s="16"/>
      <c r="H37" s="5" t="s">
        <v>134</v>
      </c>
      <c r="I37" s="5" t="s">
        <v>136</v>
      </c>
    </row>
    <row r="38" spans="2:11" ht="17.25" thickBot="1">
      <c r="B38" s="16" t="s">
        <v>158</v>
      </c>
      <c r="C38" s="13">
        <f>+SUM(C31:C36)</f>
        <v>7886060</v>
      </c>
      <c r="D38" s="16"/>
      <c r="E38" s="16"/>
      <c r="G38" s="5" t="s">
        <v>137</v>
      </c>
      <c r="H38" s="5">
        <v>6000000</v>
      </c>
      <c r="I38" s="5">
        <v>10000000</v>
      </c>
    </row>
    <row r="39" spans="2:11">
      <c r="B39" s="16"/>
      <c r="C39" s="16"/>
      <c r="D39" s="16"/>
      <c r="E39" s="16"/>
      <c r="G39" s="5" t="s">
        <v>138</v>
      </c>
      <c r="H39" s="5">
        <v>2000000</v>
      </c>
      <c r="I39" s="5">
        <v>5000000</v>
      </c>
    </row>
    <row r="40" spans="2:11" ht="11.25" customHeight="1">
      <c r="B40" s="16"/>
      <c r="C40" s="16"/>
      <c r="D40" s="16"/>
      <c r="E40" s="16"/>
      <c r="G40" s="5" t="s">
        <v>141</v>
      </c>
      <c r="H40" s="5">
        <f>+H38-H39</f>
        <v>4000000</v>
      </c>
      <c r="I40" s="5">
        <f>+I38-I39</f>
        <v>5000000</v>
      </c>
    </row>
    <row r="41" spans="2:11">
      <c r="B41" s="16"/>
      <c r="C41" s="16"/>
      <c r="D41" s="16"/>
      <c r="E41" s="16"/>
      <c r="G41" s="5" t="s">
        <v>139</v>
      </c>
      <c r="H41" s="5">
        <f>+H40*0.4</f>
        <v>1600000</v>
      </c>
      <c r="I41" s="5">
        <f>+I40*0.4</f>
        <v>2000000</v>
      </c>
    </row>
    <row r="42" spans="2:11">
      <c r="G42" s="5" t="s">
        <v>142</v>
      </c>
      <c r="J42" s="5">
        <v>-30000000</v>
      </c>
    </row>
    <row r="43" spans="2:11" ht="17.25" thickBot="1">
      <c r="H43" s="70"/>
      <c r="I43" s="70"/>
    </row>
    <row r="44" spans="2:11" ht="17.25" thickBot="1">
      <c r="G44" s="5" t="s">
        <v>140</v>
      </c>
      <c r="H44" s="71">
        <f>+H39+H41</f>
        <v>3600000</v>
      </c>
      <c r="I44" s="71">
        <f>+I39+I41</f>
        <v>7000000</v>
      </c>
      <c r="J44" s="28">
        <f>+J42</f>
        <v>-30000000</v>
      </c>
      <c r="K44" s="72">
        <f>+I44+J44-H44</f>
        <v>-26600000</v>
      </c>
    </row>
    <row r="45" spans="2:11">
      <c r="H45" s="70"/>
      <c r="I45" s="70"/>
    </row>
  </sheetData>
  <mergeCells count="1">
    <mergeCell ref="D34:H34"/>
  </mergeCells>
  <phoneticPr fontId="1"/>
  <pageMargins left="0.25" right="0.25" top="0.75" bottom="0.75" header="0.3" footer="0.3"/>
  <pageSetup paperSize="9" scale="6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0"/>
  <sheetViews>
    <sheetView topLeftCell="A34" workbookViewId="0"/>
  </sheetViews>
  <sheetFormatPr defaultColWidth="10.5" defaultRowHeight="16.5"/>
  <cols>
    <col min="1" max="1" width="10.625" style="5" customWidth="1"/>
    <col min="2" max="2" width="11.5" style="5" customWidth="1"/>
    <col min="3" max="3" width="11.125" style="5" customWidth="1"/>
    <col min="4" max="4" width="11.5" style="5" customWidth="1"/>
    <col min="5" max="7" width="10.5" style="5"/>
    <col min="8" max="8" width="10.375" style="5" customWidth="1"/>
    <col min="9" max="16384" width="10.5" style="5"/>
  </cols>
  <sheetData>
    <row r="1" spans="1:1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6">
      <c r="A2" s="6" t="s">
        <v>81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6">
      <c r="A3" s="9" t="s">
        <v>161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6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6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6">
      <c r="A6" s="22" t="s">
        <v>196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3"/>
    </row>
    <row r="7" spans="1:16">
      <c r="A7" s="24" t="s">
        <v>197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9" spans="1:16">
      <c r="C9" s="5" t="s">
        <v>162</v>
      </c>
      <c r="E9" s="5" t="s">
        <v>163</v>
      </c>
    </row>
    <row r="10" spans="1:16">
      <c r="A10" s="5" t="s">
        <v>164</v>
      </c>
    </row>
    <row r="11" spans="1:16">
      <c r="A11" s="5" t="s">
        <v>165</v>
      </c>
      <c r="C11" s="5">
        <v>30000</v>
      </c>
      <c r="E11" s="5">
        <v>30000</v>
      </c>
    </row>
    <row r="12" spans="1:16">
      <c r="A12" s="5" t="s">
        <v>166</v>
      </c>
      <c r="C12" s="100">
        <v>6000</v>
      </c>
      <c r="D12" s="100"/>
      <c r="E12" s="100"/>
      <c r="F12" s="5" t="s">
        <v>180</v>
      </c>
      <c r="K12" s="92" t="s">
        <v>190</v>
      </c>
      <c r="L12" s="93"/>
      <c r="M12" s="93"/>
      <c r="N12" s="93"/>
      <c r="O12" s="93"/>
      <c r="P12" s="94"/>
    </row>
    <row r="13" spans="1:16">
      <c r="A13" s="5" t="s">
        <v>178</v>
      </c>
      <c r="C13" s="100"/>
      <c r="D13" s="100"/>
      <c r="E13" s="100">
        <f>-C12*0.5</f>
        <v>-3000</v>
      </c>
      <c r="F13" s="5" t="s">
        <v>181</v>
      </c>
      <c r="K13" s="95" t="s">
        <v>192</v>
      </c>
      <c r="L13" s="96"/>
      <c r="M13" s="96"/>
      <c r="N13" s="96"/>
      <c r="O13" s="96"/>
      <c r="P13" s="97"/>
    </row>
    <row r="14" spans="1:16">
      <c r="A14" s="5" t="s">
        <v>167</v>
      </c>
      <c r="C14" s="5">
        <v>14000</v>
      </c>
      <c r="F14" s="5" t="s">
        <v>179</v>
      </c>
      <c r="K14" s="5" t="s">
        <v>193</v>
      </c>
    </row>
    <row r="15" spans="1:16" ht="17.25" thickBot="1">
      <c r="B15" s="5" t="s">
        <v>168</v>
      </c>
      <c r="C15" s="78">
        <f>+SUM(C11:C14)</f>
        <v>50000</v>
      </c>
      <c r="E15" s="5">
        <f>+SUM(E11:E14)</f>
        <v>27000</v>
      </c>
      <c r="K15" s="5" t="s">
        <v>194</v>
      </c>
    </row>
    <row r="16" spans="1:16" ht="17.25" thickTop="1">
      <c r="A16" s="5" t="s">
        <v>169</v>
      </c>
    </row>
    <row r="17" spans="1:19">
      <c r="A17" s="5" t="s">
        <v>170</v>
      </c>
      <c r="K17" s="5" t="s">
        <v>191</v>
      </c>
    </row>
    <row r="18" spans="1:19">
      <c r="A18" s="5" t="s">
        <v>171</v>
      </c>
      <c r="C18" s="5">
        <f>17000*(2-0.7)</f>
        <v>22100</v>
      </c>
      <c r="E18" s="89"/>
      <c r="K18" s="5" t="s">
        <v>186</v>
      </c>
    </row>
    <row r="19" spans="1:19">
      <c r="A19" s="5" t="s">
        <v>172</v>
      </c>
      <c r="C19" s="12">
        <v>-12100</v>
      </c>
      <c r="E19" s="90"/>
      <c r="K19" s="16" t="s">
        <v>86</v>
      </c>
      <c r="M19" s="16" t="s">
        <v>85</v>
      </c>
      <c r="P19" s="16" t="s">
        <v>86</v>
      </c>
      <c r="R19" s="16" t="s">
        <v>85</v>
      </c>
    </row>
    <row r="20" spans="1:19">
      <c r="B20" s="5" t="s">
        <v>173</v>
      </c>
      <c r="C20" s="5">
        <f>+SUM(C18:C19)</f>
        <v>10000</v>
      </c>
      <c r="E20" s="89"/>
      <c r="K20" s="52" t="s">
        <v>89</v>
      </c>
      <c r="L20" s="53"/>
      <c r="M20" s="52" t="s">
        <v>88</v>
      </c>
      <c r="N20" s="54"/>
      <c r="P20" s="52" t="s">
        <v>89</v>
      </c>
      <c r="Q20" s="53"/>
      <c r="R20" s="52" t="s">
        <v>88</v>
      </c>
      <c r="S20" s="54"/>
    </row>
    <row r="21" spans="1:19">
      <c r="A21" s="5" t="s">
        <v>175</v>
      </c>
      <c r="C21" s="5">
        <f>-30000*0.9/5</f>
        <v>-5400</v>
      </c>
      <c r="E21" s="89"/>
      <c r="K21" s="79"/>
      <c r="L21" s="56"/>
      <c r="M21" s="79"/>
      <c r="N21" s="80"/>
      <c r="P21" s="79" t="s">
        <v>182</v>
      </c>
      <c r="Q21" s="56">
        <f>11000*0.9</f>
        <v>9900</v>
      </c>
      <c r="R21" s="79" t="s">
        <v>182</v>
      </c>
      <c r="S21" s="80">
        <f>11000*2</f>
        <v>22000</v>
      </c>
    </row>
    <row r="22" spans="1:19">
      <c r="B22" s="5" t="s">
        <v>174</v>
      </c>
      <c r="C22" s="5">
        <f>+SUM(C20:C21)</f>
        <v>4600</v>
      </c>
      <c r="E22" s="89"/>
      <c r="K22" s="79" t="s">
        <v>183</v>
      </c>
      <c r="L22" s="56">
        <f>17000*0.7</f>
        <v>11900</v>
      </c>
      <c r="M22" s="55" t="s">
        <v>183</v>
      </c>
      <c r="N22" s="80">
        <f>17000*2</f>
        <v>34000</v>
      </c>
      <c r="P22" s="79"/>
      <c r="Q22" s="56"/>
      <c r="R22" s="55"/>
      <c r="S22" s="80"/>
    </row>
    <row r="23" spans="1:19">
      <c r="A23" s="5" t="s">
        <v>176</v>
      </c>
      <c r="C23" s="5">
        <f>-50000*0.1</f>
        <v>-5000</v>
      </c>
      <c r="E23" s="89"/>
      <c r="K23" s="55"/>
      <c r="L23" s="83"/>
      <c r="M23" s="55"/>
      <c r="N23" s="85"/>
      <c r="P23" s="55"/>
      <c r="Q23" s="83"/>
      <c r="R23" s="55"/>
      <c r="S23" s="85"/>
    </row>
    <row r="24" spans="1:19" ht="17.25" thickBot="1">
      <c r="B24" s="5" t="s">
        <v>177</v>
      </c>
      <c r="C24" s="78">
        <f>+SUM(C22:C23)</f>
        <v>-400</v>
      </c>
      <c r="E24" s="91"/>
      <c r="K24" s="60" t="s">
        <v>76</v>
      </c>
      <c r="L24" s="61"/>
      <c r="M24" s="79"/>
      <c r="N24" s="80"/>
      <c r="P24" s="60" t="s">
        <v>76</v>
      </c>
      <c r="Q24" s="61"/>
      <c r="R24" s="79"/>
      <c r="S24" s="80"/>
    </row>
    <row r="25" spans="1:19" ht="17.25" thickTop="1">
      <c r="K25" s="81"/>
      <c r="L25" s="82"/>
      <c r="M25" s="79"/>
      <c r="N25" s="80"/>
      <c r="P25" s="81" t="s">
        <v>182</v>
      </c>
      <c r="Q25" s="82">
        <f>1000</f>
        <v>1000</v>
      </c>
      <c r="R25" s="79"/>
      <c r="S25" s="80"/>
    </row>
    <row r="26" spans="1:19">
      <c r="K26" s="81" t="s">
        <v>183</v>
      </c>
      <c r="L26" s="82">
        <f>30000*0.9/5</f>
        <v>5400</v>
      </c>
      <c r="M26" s="79"/>
      <c r="N26" s="80"/>
      <c r="P26" s="81"/>
      <c r="Q26" s="82"/>
      <c r="R26" s="79"/>
      <c r="S26" s="80"/>
    </row>
    <row r="27" spans="1:19">
      <c r="K27" s="62"/>
      <c r="L27" s="84"/>
      <c r="M27" s="55"/>
      <c r="N27" s="57"/>
      <c r="P27" s="62"/>
      <c r="Q27" s="84"/>
      <c r="R27" s="55"/>
      <c r="S27" s="57"/>
    </row>
    <row r="28" spans="1:19">
      <c r="K28" s="55" t="s">
        <v>90</v>
      </c>
      <c r="L28" s="56">
        <f>+N22-L22-L26</f>
        <v>16700</v>
      </c>
      <c r="M28" s="55"/>
      <c r="N28" s="57"/>
      <c r="P28" s="55" t="s">
        <v>90</v>
      </c>
      <c r="Q28" s="56">
        <f>+S21-Q21-Q25</f>
        <v>11100</v>
      </c>
      <c r="R28" s="55"/>
      <c r="S28" s="57"/>
    </row>
    <row r="29" spans="1:19">
      <c r="K29" s="55" t="s">
        <v>91</v>
      </c>
      <c r="L29" s="64" t="s">
        <v>92</v>
      </c>
      <c r="M29" s="55"/>
      <c r="N29" s="57"/>
      <c r="P29" s="55" t="s">
        <v>91</v>
      </c>
      <c r="Q29" s="64" t="s">
        <v>92</v>
      </c>
      <c r="R29" s="55"/>
      <c r="S29" s="57"/>
    </row>
    <row r="30" spans="1:19">
      <c r="K30" s="58">
        <f>+L28*0.5</f>
        <v>8350</v>
      </c>
      <c r="L30" s="86">
        <f>+L28-K30</f>
        <v>8350</v>
      </c>
      <c r="M30" s="58"/>
      <c r="N30" s="59"/>
      <c r="P30" s="58">
        <f>+Q28*0.5</f>
        <v>5550</v>
      </c>
      <c r="Q30" s="86">
        <f>+Q28-P30</f>
        <v>5550</v>
      </c>
      <c r="R30" s="58"/>
      <c r="S30" s="59"/>
    </row>
    <row r="31" spans="1:19" ht="17.25" thickBot="1"/>
    <row r="32" spans="1:19" ht="17.25" thickBot="1">
      <c r="L32" s="77">
        <f>+L26+L30</f>
        <v>13750</v>
      </c>
      <c r="Q32" s="77">
        <f>+Q25+Q30</f>
        <v>6550</v>
      </c>
    </row>
    <row r="33" spans="2:13" ht="17.25" thickBot="1">
      <c r="L33" s="99">
        <f>+L32-Q32</f>
        <v>7200</v>
      </c>
      <c r="M33" s="5" t="s">
        <v>195</v>
      </c>
    </row>
    <row r="35" spans="2:13">
      <c r="B35" s="5" t="s">
        <v>189</v>
      </c>
      <c r="K35" s="5" t="s">
        <v>185</v>
      </c>
    </row>
    <row r="36" spans="2:13">
      <c r="K36" s="5" t="s">
        <v>182</v>
      </c>
      <c r="L36" s="5">
        <f>10000*0.1*0.5</f>
        <v>500</v>
      </c>
    </row>
    <row r="37" spans="2:13">
      <c r="K37" s="5" t="s">
        <v>186</v>
      </c>
      <c r="L37" s="5">
        <f>30000*0.1*0.5</f>
        <v>1500</v>
      </c>
    </row>
    <row r="38" spans="2:13">
      <c r="B38" s="16" t="s">
        <v>52</v>
      </c>
      <c r="C38" s="63">
        <f>-E15</f>
        <v>-27000</v>
      </c>
      <c r="D38" s="50"/>
      <c r="E38" s="50"/>
      <c r="F38" s="18"/>
      <c r="G38" s="18"/>
      <c r="H38" s="18"/>
      <c r="K38" s="5" t="s">
        <v>184</v>
      </c>
      <c r="L38" s="87">
        <f>+L37-L36</f>
        <v>1000</v>
      </c>
    </row>
    <row r="39" spans="2:13">
      <c r="B39" s="16" t="s">
        <v>50</v>
      </c>
      <c r="C39" s="54"/>
      <c r="D39" s="75">
        <f>+$L$33</f>
        <v>7200</v>
      </c>
      <c r="E39" s="75">
        <f t="shared" ref="E39:H39" si="0">+$L$33</f>
        <v>7200</v>
      </c>
      <c r="F39" s="75">
        <f t="shared" si="0"/>
        <v>7200</v>
      </c>
      <c r="G39" s="75">
        <f t="shared" si="0"/>
        <v>7200</v>
      </c>
      <c r="H39" s="75">
        <f t="shared" si="0"/>
        <v>7200</v>
      </c>
    </row>
    <row r="40" spans="2:13">
      <c r="B40" s="16" t="s">
        <v>54</v>
      </c>
      <c r="C40" s="16"/>
      <c r="D40" s="16"/>
      <c r="E40" s="16"/>
      <c r="H40" s="5">
        <f>+L38</f>
        <v>1000</v>
      </c>
    </row>
    <row r="41" spans="2:13">
      <c r="B41" s="16" t="s">
        <v>51</v>
      </c>
      <c r="C41" s="16"/>
      <c r="D41" s="155">
        <v>3.7907999999999999</v>
      </c>
      <c r="E41" s="156"/>
      <c r="F41" s="156"/>
      <c r="G41" s="156"/>
      <c r="H41" s="157"/>
    </row>
    <row r="42" spans="2:13">
      <c r="B42" s="16" t="s">
        <v>53</v>
      </c>
      <c r="C42" s="16">
        <f>+D39*D41</f>
        <v>27293.759999999998</v>
      </c>
      <c r="D42" s="16"/>
      <c r="E42" s="16"/>
      <c r="H42" s="30">
        <v>0.62090000000000001</v>
      </c>
    </row>
    <row r="43" spans="2:13">
      <c r="B43" s="16"/>
      <c r="C43" s="16">
        <f>+H40*H42</f>
        <v>620.9</v>
      </c>
      <c r="D43" s="16"/>
      <c r="E43" s="16"/>
    </row>
    <row r="44" spans="2:13" ht="17.25" thickBot="1">
      <c r="B44" s="16"/>
      <c r="C44" s="16"/>
      <c r="D44" s="16"/>
      <c r="E44" s="16"/>
    </row>
    <row r="45" spans="2:13" ht="17.25" thickBot="1">
      <c r="B45" s="16" t="s">
        <v>158</v>
      </c>
      <c r="C45" s="77">
        <f>+SUM(C38:C43)</f>
        <v>914.65999999999838</v>
      </c>
      <c r="D45" s="16" t="s">
        <v>187</v>
      </c>
      <c r="E45" s="16"/>
    </row>
    <row r="49" spans="2:10" ht="17.25" thickBot="1">
      <c r="B49" s="5" t="s">
        <v>188</v>
      </c>
      <c r="J49" s="5" t="s">
        <v>64</v>
      </c>
    </row>
    <row r="50" spans="2:10" ht="17.25" thickBot="1">
      <c r="C50" s="5">
        <f>+C38</f>
        <v>-27000</v>
      </c>
      <c r="D50" s="5">
        <f>+D39</f>
        <v>7200</v>
      </c>
      <c r="E50" s="5">
        <f t="shared" ref="E50:G50" si="1">+E39</f>
        <v>7200</v>
      </c>
      <c r="F50" s="5">
        <f t="shared" si="1"/>
        <v>7200</v>
      </c>
      <c r="G50" s="5">
        <f t="shared" si="1"/>
        <v>7200</v>
      </c>
      <c r="H50" s="5">
        <f>+H39+H40</f>
        <v>8200</v>
      </c>
      <c r="J50" s="88">
        <f>+IRR(C50:H50)</f>
        <v>0.11294691801407919</v>
      </c>
    </row>
  </sheetData>
  <mergeCells count="1">
    <mergeCell ref="D41:H41"/>
  </mergeCells>
  <phoneticPr fontId="1"/>
  <pageMargins left="0.25" right="0.25" top="0.75" bottom="0.75" header="0.3" footer="0.3"/>
  <pageSetup paperSize="9" scale="6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5"/>
  <sheetViews>
    <sheetView topLeftCell="A25" workbookViewId="0"/>
  </sheetViews>
  <sheetFormatPr defaultColWidth="10.5" defaultRowHeight="16.5"/>
  <cols>
    <col min="1" max="1" width="10.625" style="5" customWidth="1"/>
    <col min="2" max="2" width="11.5" style="5" customWidth="1"/>
    <col min="3" max="3" width="11.125" style="5" bestFit="1" customWidth="1"/>
    <col min="4" max="4" width="11.5" style="5" customWidth="1"/>
    <col min="5" max="7" width="10.5" style="5"/>
    <col min="8" max="8" width="10.375" style="5" customWidth="1"/>
    <col min="9" max="16384" width="10.5" style="5"/>
  </cols>
  <sheetData>
    <row r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>
      <c r="A2" s="6" t="s">
        <v>81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4">
      <c r="A3" s="9" t="s">
        <v>198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4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4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4">
      <c r="A6" s="22" t="s">
        <v>207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3"/>
    </row>
    <row r="7" spans="1:14">
      <c r="A7" s="24" t="s">
        <v>220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9" spans="1:14">
      <c r="A9" s="5" t="s">
        <v>199</v>
      </c>
    </row>
    <row r="10" spans="1:14">
      <c r="B10" s="5" t="s">
        <v>200</v>
      </c>
      <c r="G10" s="5" t="s">
        <v>212</v>
      </c>
    </row>
    <row r="11" spans="1:14">
      <c r="B11" s="5" t="s">
        <v>201</v>
      </c>
      <c r="C11" s="5">
        <v>70000000</v>
      </c>
      <c r="G11" s="5" t="s">
        <v>201</v>
      </c>
      <c r="H11" s="5">
        <f>+C18</f>
        <v>36000000</v>
      </c>
    </row>
    <row r="12" spans="1:14">
      <c r="B12" s="5" t="s">
        <v>202</v>
      </c>
      <c r="C12" s="5">
        <f>+C11*0.9*0.571428571428571</f>
        <v>36000000</v>
      </c>
      <c r="G12" s="5" t="s">
        <v>202</v>
      </c>
      <c r="H12" s="5">
        <f>+H11*0.9</f>
        <v>32400000</v>
      </c>
    </row>
    <row r="13" spans="1:14">
      <c r="B13" s="5" t="s">
        <v>203</v>
      </c>
      <c r="C13" s="5">
        <f>+C11-C12</f>
        <v>34000000</v>
      </c>
      <c r="G13" s="5" t="s">
        <v>203</v>
      </c>
      <c r="H13" s="5">
        <f>+H11*0.1</f>
        <v>3600000</v>
      </c>
    </row>
    <row r="14" spans="1:14">
      <c r="B14" s="5" t="s">
        <v>204</v>
      </c>
      <c r="C14" s="101">
        <v>14000000</v>
      </c>
      <c r="D14" s="5" t="s">
        <v>208</v>
      </c>
      <c r="G14" s="5" t="s">
        <v>204</v>
      </c>
      <c r="H14" s="100">
        <v>7600000</v>
      </c>
    </row>
    <row r="15" spans="1:14">
      <c r="B15" s="5" t="s">
        <v>205</v>
      </c>
      <c r="C15" s="5">
        <f>+C14-C13</f>
        <v>-20000000</v>
      </c>
      <c r="G15" s="5" t="s">
        <v>213</v>
      </c>
      <c r="H15" s="5">
        <f>+H14-H13</f>
        <v>4000000</v>
      </c>
    </row>
    <row r="16" spans="1:14">
      <c r="B16" s="5" t="s">
        <v>206</v>
      </c>
      <c r="C16" s="101">
        <f>-C15*0.4</f>
        <v>8000000</v>
      </c>
      <c r="D16" s="5" t="s">
        <v>215</v>
      </c>
      <c r="G16" s="5" t="s">
        <v>214</v>
      </c>
      <c r="H16" s="101">
        <f>-H15*0.4</f>
        <v>-1600000</v>
      </c>
    </row>
    <row r="18" spans="1:10">
      <c r="B18" s="5" t="s">
        <v>211</v>
      </c>
      <c r="C18" s="5">
        <v>36000000</v>
      </c>
    </row>
    <row r="19" spans="1:10">
      <c r="E19" s="5" t="s">
        <v>209</v>
      </c>
      <c r="F19" s="5" t="s">
        <v>210</v>
      </c>
      <c r="G19" s="5" t="s">
        <v>21</v>
      </c>
    </row>
    <row r="20" spans="1:10">
      <c r="C20" s="16" t="s">
        <v>52</v>
      </c>
      <c r="D20" s="63">
        <f>-C18+C14</f>
        <v>-22000000</v>
      </c>
      <c r="E20" s="50"/>
      <c r="F20" s="50"/>
      <c r="G20" s="18"/>
    </row>
    <row r="21" spans="1:10">
      <c r="C21" s="16" t="s">
        <v>50</v>
      </c>
      <c r="D21" s="54"/>
      <c r="E21" s="75">
        <v>5000000</v>
      </c>
      <c r="F21" s="75">
        <v>5000000</v>
      </c>
      <c r="G21" s="75">
        <v>5000000</v>
      </c>
    </row>
    <row r="22" spans="1:10">
      <c r="E22" s="5">
        <f>+C16</f>
        <v>8000000</v>
      </c>
      <c r="G22" s="5">
        <f>+H14+H16</f>
        <v>6000000</v>
      </c>
    </row>
    <row r="23" spans="1:10">
      <c r="C23" s="16" t="s">
        <v>51</v>
      </c>
      <c r="E23" s="102">
        <v>0.93459999999999999</v>
      </c>
      <c r="F23" s="102">
        <v>0.87339999999999995</v>
      </c>
      <c r="G23" s="102">
        <v>0.81630000000000003</v>
      </c>
    </row>
    <row r="24" spans="1:10" ht="17.25" thickBot="1">
      <c r="C24" s="16" t="s">
        <v>53</v>
      </c>
      <c r="D24" s="5">
        <f>+SUM(E24:G24)</f>
        <v>25496100</v>
      </c>
      <c r="E24" s="5">
        <f>+SUM(E21:E22)*E23</f>
        <v>12149800</v>
      </c>
      <c r="F24" s="5">
        <f t="shared" ref="F24:G24" si="0">+SUM(F21:F22)*F23</f>
        <v>4367000</v>
      </c>
      <c r="G24" s="5">
        <f t="shared" si="0"/>
        <v>8979300</v>
      </c>
    </row>
    <row r="25" spans="1:10" ht="17.25" thickBot="1">
      <c r="C25" s="16" t="s">
        <v>158</v>
      </c>
      <c r="D25" s="13">
        <f>+SUM(D20:D24)</f>
        <v>3496100</v>
      </c>
    </row>
    <row r="26" spans="1:10">
      <c r="I26" s="5" t="s">
        <v>217</v>
      </c>
    </row>
    <row r="27" spans="1:10">
      <c r="I27" s="5" t="s">
        <v>201</v>
      </c>
      <c r="J27" s="5">
        <f>+C11</f>
        <v>70000000</v>
      </c>
    </row>
    <row r="28" spans="1:10">
      <c r="A28" s="5" t="s">
        <v>216</v>
      </c>
      <c r="I28" s="5" t="s">
        <v>202</v>
      </c>
      <c r="J28" s="5">
        <f>+J27*0.9</f>
        <v>63000000</v>
      </c>
    </row>
    <row r="29" spans="1:10">
      <c r="E29" s="5" t="s">
        <v>209</v>
      </c>
      <c r="F29" s="5" t="s">
        <v>210</v>
      </c>
      <c r="G29" s="5" t="s">
        <v>21</v>
      </c>
      <c r="I29" s="5" t="s">
        <v>203</v>
      </c>
      <c r="J29" s="5">
        <f>+J27*0.1</f>
        <v>7000000</v>
      </c>
    </row>
    <row r="30" spans="1:10">
      <c r="C30" s="16" t="s">
        <v>52</v>
      </c>
      <c r="D30" s="63"/>
      <c r="E30" s="50"/>
      <c r="F30" s="50"/>
      <c r="G30" s="18"/>
      <c r="I30" s="5" t="s">
        <v>204</v>
      </c>
      <c r="J30" s="100">
        <v>4000000</v>
      </c>
    </row>
    <row r="31" spans="1:10">
      <c r="C31" s="16" t="s">
        <v>50</v>
      </c>
      <c r="D31" s="54"/>
      <c r="E31" s="75"/>
      <c r="F31" s="75"/>
      <c r="G31" s="75">
        <f>+J30+J32</f>
        <v>5200000</v>
      </c>
      <c r="I31" s="5" t="s">
        <v>205</v>
      </c>
      <c r="J31" s="5">
        <f>+J30-J29</f>
        <v>-3000000</v>
      </c>
    </row>
    <row r="32" spans="1:10">
      <c r="I32" s="5" t="s">
        <v>218</v>
      </c>
      <c r="J32" s="101">
        <f>-J31*0.4</f>
        <v>1200000</v>
      </c>
    </row>
    <row r="33" spans="3:7">
      <c r="C33" s="16" t="s">
        <v>51</v>
      </c>
      <c r="E33" s="102"/>
      <c r="F33" s="102"/>
      <c r="G33" s="102">
        <v>0.81630000000000003</v>
      </c>
    </row>
    <row r="34" spans="3:7" ht="17.25" thickBot="1">
      <c r="C34" s="16" t="s">
        <v>53</v>
      </c>
      <c r="D34" s="5">
        <f>+SUM(E34:G34)</f>
        <v>4244760</v>
      </c>
      <c r="E34" s="5">
        <f>+SUM(E31:E32)*E33</f>
        <v>0</v>
      </c>
      <c r="F34" s="5">
        <f t="shared" ref="F34" si="1">+SUM(F31:F32)*F33</f>
        <v>0</v>
      </c>
      <c r="G34" s="5">
        <f t="shared" ref="G34" si="2">+SUM(G31:G32)*G33</f>
        <v>4244760</v>
      </c>
    </row>
    <row r="35" spans="3:7" ht="17.25" thickBot="1">
      <c r="C35" s="16" t="s">
        <v>158</v>
      </c>
      <c r="D35" s="13">
        <f>+SUM(D30:D34)</f>
        <v>4244760</v>
      </c>
      <c r="E35" s="5" t="s">
        <v>219</v>
      </c>
    </row>
  </sheetData>
  <phoneticPr fontId="1"/>
  <pageMargins left="0.25" right="0.25" top="0.75" bottom="0.75" header="0.3" footer="0.3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46"/>
  <sheetViews>
    <sheetView topLeftCell="A7" workbookViewId="0"/>
  </sheetViews>
  <sheetFormatPr defaultColWidth="10.5" defaultRowHeight="16.5"/>
  <cols>
    <col min="1" max="1" width="10.625" style="5" customWidth="1"/>
    <col min="2" max="2" width="11.5" style="5" customWidth="1"/>
    <col min="3" max="3" width="11.125" style="5" customWidth="1"/>
    <col min="4" max="4" width="11.5" style="5" customWidth="1"/>
    <col min="5" max="7" width="10.5" style="5"/>
    <col min="8" max="8" width="10.375" style="5" customWidth="1"/>
    <col min="9" max="16384" width="10.5" style="5"/>
  </cols>
  <sheetData>
    <row r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>
      <c r="A2" s="6" t="s">
        <v>81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4">
      <c r="A3" s="9" t="s">
        <v>221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4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4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4">
      <c r="A6" s="22" t="s">
        <v>263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3"/>
    </row>
    <row r="7" spans="1:14">
      <c r="A7" s="24" t="s">
        <v>264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10" spans="1:14">
      <c r="A10" s="5" t="s">
        <v>222</v>
      </c>
      <c r="F10" s="5" t="s">
        <v>235</v>
      </c>
    </row>
    <row r="11" spans="1:14">
      <c r="B11" s="5" t="s">
        <v>223</v>
      </c>
      <c r="F11" s="5" t="s">
        <v>236</v>
      </c>
    </row>
    <row r="12" spans="1:14">
      <c r="F12" s="5" t="s">
        <v>237</v>
      </c>
      <c r="G12" s="5">
        <v>50000</v>
      </c>
    </row>
    <row r="13" spans="1:14">
      <c r="B13" s="5" t="s">
        <v>224</v>
      </c>
      <c r="D13" s="5">
        <v>9000</v>
      </c>
    </row>
    <row r="14" spans="1:14">
      <c r="B14" s="5" t="s">
        <v>230</v>
      </c>
    </row>
    <row r="15" spans="1:14">
      <c r="B15" s="5" t="s">
        <v>225</v>
      </c>
      <c r="C15" s="5">
        <v>3600</v>
      </c>
    </row>
    <row r="16" spans="1:14">
      <c r="B16" s="5" t="s">
        <v>227</v>
      </c>
      <c r="C16" s="5">
        <v>0</v>
      </c>
      <c r="E16" s="5" t="s">
        <v>229</v>
      </c>
    </row>
    <row r="17" spans="1:13">
      <c r="B17" s="5" t="s">
        <v>226</v>
      </c>
      <c r="C17" s="5">
        <f>540-360</f>
        <v>180</v>
      </c>
      <c r="D17" s="98">
        <f>+SUM(C15:C17)</f>
        <v>3780</v>
      </c>
      <c r="F17" s="5" t="s">
        <v>230</v>
      </c>
      <c r="G17" s="98">
        <f>+G12*D17</f>
        <v>189000000</v>
      </c>
    </row>
    <row r="18" spans="1:13">
      <c r="B18" s="5" t="s">
        <v>234</v>
      </c>
      <c r="D18" s="103">
        <f>+D13-D17</f>
        <v>5220</v>
      </c>
    </row>
    <row r="19" spans="1:13">
      <c r="B19" s="5" t="s">
        <v>233</v>
      </c>
      <c r="C19" s="70"/>
    </row>
    <row r="20" spans="1:13">
      <c r="B20" s="5" t="s">
        <v>228</v>
      </c>
      <c r="C20" s="5">
        <v>1080</v>
      </c>
      <c r="I20" s="5" t="s">
        <v>240</v>
      </c>
    </row>
    <row r="21" spans="1:13">
      <c r="B21" s="5" t="s">
        <v>232</v>
      </c>
      <c r="C21" s="5">
        <v>270</v>
      </c>
      <c r="D21" s="5">
        <f>+SUM(C20:C21)</f>
        <v>1350</v>
      </c>
      <c r="F21" s="5" t="s">
        <v>233</v>
      </c>
      <c r="G21" s="5">
        <f>+D21*G12</f>
        <v>67500000</v>
      </c>
      <c r="H21" s="5" t="s">
        <v>239</v>
      </c>
      <c r="I21" s="5">
        <f>+G17+G21</f>
        <v>256500000</v>
      </c>
    </row>
    <row r="22" spans="1:13" ht="17.25" thickBot="1">
      <c r="B22" s="5" t="s">
        <v>231</v>
      </c>
      <c r="D22" s="17">
        <f>+D18-D21</f>
        <v>3870</v>
      </c>
      <c r="G22" s="98">
        <f>+G12*D22</f>
        <v>193500000</v>
      </c>
    </row>
    <row r="23" spans="1:13" ht="17.25" thickTop="1"/>
    <row r="25" spans="1:13">
      <c r="A25" s="5" t="s">
        <v>241</v>
      </c>
      <c r="I25" s="5" t="s">
        <v>260</v>
      </c>
    </row>
    <row r="27" spans="1:13">
      <c r="D27" s="5" t="s">
        <v>247</v>
      </c>
      <c r="E27" s="5" t="s">
        <v>157</v>
      </c>
      <c r="F27" s="5" t="s">
        <v>248</v>
      </c>
      <c r="K27" s="5" t="s">
        <v>247</v>
      </c>
      <c r="L27" s="5" t="s">
        <v>157</v>
      </c>
      <c r="M27" s="5" t="s">
        <v>248</v>
      </c>
    </row>
    <row r="28" spans="1:13">
      <c r="C28" s="5" t="s">
        <v>237</v>
      </c>
      <c r="D28" s="5">
        <v>50000</v>
      </c>
      <c r="E28" s="5">
        <v>55000</v>
      </c>
      <c r="F28" s="5">
        <v>70000</v>
      </c>
      <c r="J28" s="5" t="s">
        <v>237</v>
      </c>
      <c r="K28" s="5">
        <v>50000</v>
      </c>
      <c r="L28" s="5">
        <v>55000</v>
      </c>
      <c r="M28" s="5">
        <v>70000</v>
      </c>
    </row>
    <row r="29" spans="1:13">
      <c r="B29" s="5" t="s">
        <v>231</v>
      </c>
      <c r="D29" s="5">
        <f>+$D$22*D28</f>
        <v>193500000</v>
      </c>
      <c r="E29" s="5">
        <f>+$D$22*E28</f>
        <v>212850000</v>
      </c>
      <c r="F29" s="5">
        <f>+$D$22*F28</f>
        <v>270900000</v>
      </c>
      <c r="I29" s="5" t="s">
        <v>231</v>
      </c>
      <c r="K29" s="5">
        <f>+D29</f>
        <v>193500000</v>
      </c>
      <c r="L29" s="5">
        <f t="shared" ref="L29:L33" si="0">+E29</f>
        <v>212850000</v>
      </c>
      <c r="M29" s="5">
        <f t="shared" ref="M29:M33" si="1">+F29</f>
        <v>270900000</v>
      </c>
    </row>
    <row r="30" spans="1:13">
      <c r="B30" s="5" t="s">
        <v>242</v>
      </c>
      <c r="D30" s="5">
        <v>-21000000</v>
      </c>
      <c r="I30" s="5" t="s">
        <v>242</v>
      </c>
      <c r="K30" s="5">
        <f t="shared" ref="K30:K33" si="2">+D30</f>
        <v>-21000000</v>
      </c>
      <c r="L30" s="5">
        <f t="shared" si="0"/>
        <v>0</v>
      </c>
      <c r="M30" s="5">
        <f t="shared" si="1"/>
        <v>0</v>
      </c>
    </row>
    <row r="31" spans="1:13">
      <c r="B31" s="5" t="s">
        <v>243</v>
      </c>
      <c r="D31" s="5">
        <v>-36000000</v>
      </c>
      <c r="E31" s="5">
        <v>-48000000</v>
      </c>
      <c r="F31" s="5">
        <v>-48000000</v>
      </c>
      <c r="I31" s="5" t="s">
        <v>243</v>
      </c>
      <c r="K31" s="5">
        <f t="shared" si="2"/>
        <v>-36000000</v>
      </c>
      <c r="L31" s="5">
        <f t="shared" si="0"/>
        <v>-48000000</v>
      </c>
      <c r="M31" s="5">
        <f t="shared" si="1"/>
        <v>-48000000</v>
      </c>
    </row>
    <row r="32" spans="1:13">
      <c r="B32" s="5" t="s">
        <v>244</v>
      </c>
      <c r="D32" s="5">
        <f>-D37*$C$39</f>
        <v>-5400000</v>
      </c>
      <c r="E32" s="5">
        <f>-E37*$C$39</f>
        <v>-5400000</v>
      </c>
      <c r="F32" s="5">
        <f>-F37*$C$39</f>
        <v>-4500000</v>
      </c>
      <c r="I32" s="5" t="s">
        <v>244</v>
      </c>
      <c r="K32" s="5">
        <f t="shared" si="2"/>
        <v>-5400000</v>
      </c>
      <c r="L32" s="5">
        <f t="shared" si="0"/>
        <v>-5400000</v>
      </c>
      <c r="M32" s="5">
        <f t="shared" si="1"/>
        <v>-4500000</v>
      </c>
    </row>
    <row r="33" spans="1:13">
      <c r="B33" s="5" t="s">
        <v>245</v>
      </c>
      <c r="D33" s="5">
        <f>+D37*$C$38</f>
        <v>2700000</v>
      </c>
      <c r="E33" s="5">
        <f>+E37*$C$38</f>
        <v>2700000</v>
      </c>
      <c r="F33" s="5">
        <f>+F37*$C$38</f>
        <v>2250000</v>
      </c>
      <c r="I33" s="5" t="s">
        <v>245</v>
      </c>
      <c r="K33" s="5">
        <f t="shared" si="2"/>
        <v>2700000</v>
      </c>
      <c r="L33" s="5">
        <f t="shared" si="0"/>
        <v>2700000</v>
      </c>
      <c r="M33" s="5">
        <f t="shared" si="1"/>
        <v>2250000</v>
      </c>
    </row>
    <row r="34" spans="1:13">
      <c r="B34" s="5" t="s">
        <v>246</v>
      </c>
      <c r="D34" s="5">
        <f>-D29*0.7</f>
        <v>-135450000</v>
      </c>
      <c r="E34" s="5">
        <f>-E29*0.7</f>
        <v>-148995000</v>
      </c>
      <c r="F34" s="5">
        <f>-F29*0.7</f>
        <v>-189630000</v>
      </c>
    </row>
    <row r="35" spans="1:13" ht="17.25" thickBot="1">
      <c r="B35" s="5" t="s">
        <v>252</v>
      </c>
      <c r="D35" s="78">
        <f>+SUM(D29:D34)</f>
        <v>-1650000</v>
      </c>
      <c r="E35" s="78">
        <f t="shared" ref="E35:F35" si="3">+SUM(E29:E34)</f>
        <v>13155000</v>
      </c>
      <c r="F35" s="78">
        <f t="shared" si="3"/>
        <v>31020000</v>
      </c>
      <c r="I35" s="5" t="s">
        <v>252</v>
      </c>
      <c r="K35" s="78">
        <f>+SUM(K29:K34)</f>
        <v>133800000</v>
      </c>
      <c r="L35" s="78">
        <f t="shared" ref="L35" si="4">+SUM(L29:L34)</f>
        <v>162150000</v>
      </c>
      <c r="M35" s="78">
        <f t="shared" ref="M35" si="5">+SUM(M29:M34)</f>
        <v>220650000</v>
      </c>
    </row>
    <row r="36" spans="1:13" ht="17.25" thickTop="1"/>
    <row r="37" spans="1:13">
      <c r="B37" s="5" t="s">
        <v>249</v>
      </c>
      <c r="D37" s="5">
        <v>90000000</v>
      </c>
      <c r="E37" s="5">
        <v>90000000</v>
      </c>
      <c r="F37" s="5">
        <f>+E37-15000000</f>
        <v>75000000</v>
      </c>
      <c r="G37" s="5">
        <f>+F37-60000000</f>
        <v>15000000</v>
      </c>
    </row>
    <row r="38" spans="1:13">
      <c r="B38" s="5" t="s">
        <v>250</v>
      </c>
      <c r="C38" s="104">
        <v>0.03</v>
      </c>
      <c r="I38" s="5" t="s">
        <v>261</v>
      </c>
    </row>
    <row r="39" spans="1:13">
      <c r="B39" s="5" t="s">
        <v>251</v>
      </c>
      <c r="C39" s="104">
        <v>0.06</v>
      </c>
      <c r="K39" s="5" t="s">
        <v>209</v>
      </c>
      <c r="L39" s="5" t="s">
        <v>210</v>
      </c>
      <c r="M39" s="5" t="s">
        <v>21</v>
      </c>
    </row>
    <row r="40" spans="1:13">
      <c r="I40" s="16" t="s">
        <v>52</v>
      </c>
      <c r="J40" s="63">
        <f>+D30</f>
        <v>-21000000</v>
      </c>
      <c r="K40" s="50"/>
      <c r="L40" s="50"/>
      <c r="M40" s="18"/>
    </row>
    <row r="41" spans="1:13">
      <c r="A41" s="5" t="s">
        <v>259</v>
      </c>
      <c r="I41" s="16" t="s">
        <v>50</v>
      </c>
      <c r="J41" s="54"/>
      <c r="K41" s="75">
        <f>+K29</f>
        <v>193500000</v>
      </c>
      <c r="L41" s="75">
        <f>+L29</f>
        <v>212850000</v>
      </c>
      <c r="M41" s="75">
        <f>+M29</f>
        <v>270900000</v>
      </c>
    </row>
    <row r="42" spans="1:13">
      <c r="A42" s="5" t="s">
        <v>258</v>
      </c>
      <c r="B42" s="5" t="s">
        <v>255</v>
      </c>
      <c r="K42" s="5">
        <f>+K31</f>
        <v>-36000000</v>
      </c>
      <c r="L42" s="5">
        <f>+L31</f>
        <v>-48000000</v>
      </c>
      <c r="M42" s="5">
        <f>+M31</f>
        <v>-48000000</v>
      </c>
    </row>
    <row r="43" spans="1:13" ht="17.25" thickBot="1">
      <c r="B43" s="5" t="s">
        <v>253</v>
      </c>
      <c r="D43" s="105" t="s">
        <v>256</v>
      </c>
      <c r="E43" s="5">
        <f>-SUM(D30:D33)</f>
        <v>59700000</v>
      </c>
      <c r="I43" s="16" t="s">
        <v>51</v>
      </c>
      <c r="K43" s="102">
        <v>0.94340000000000002</v>
      </c>
      <c r="L43" s="102">
        <v>0.89</v>
      </c>
      <c r="M43" s="102">
        <v>0.83960000000000001</v>
      </c>
    </row>
    <row r="44" spans="1:13" ht="17.25" thickBot="1">
      <c r="B44" s="5" t="s">
        <v>254</v>
      </c>
      <c r="D44" s="106">
        <f>+E43/D22/(1-0.7)</f>
        <v>51421.188630490949</v>
      </c>
      <c r="E44" s="5" t="s">
        <v>257</v>
      </c>
      <c r="I44" s="16" t="s">
        <v>53</v>
      </c>
      <c r="J44" s="5">
        <f>+SUM(K44:M44)</f>
        <v>482448840</v>
      </c>
      <c r="K44" s="5">
        <f>+SUM(K41:K42)*K43</f>
        <v>148585500</v>
      </c>
      <c r="L44" s="5">
        <f>+SUM(L41:L42)*L43</f>
        <v>146716500</v>
      </c>
      <c r="M44" s="5">
        <f>+SUM(M41:M42)*M43</f>
        <v>187146840</v>
      </c>
    </row>
    <row r="45" spans="1:13" ht="17.25" thickBot="1">
      <c r="I45" s="16" t="s">
        <v>158</v>
      </c>
      <c r="J45" s="13">
        <f>+SUM(J40:J44)</f>
        <v>461448840</v>
      </c>
    </row>
    <row r="46" spans="1:13">
      <c r="K46" s="5" t="s">
        <v>262</v>
      </c>
    </row>
  </sheetData>
  <phoneticPr fontId="1"/>
  <pageMargins left="0.25" right="0.25" top="0.75" bottom="0.75" header="0.3" footer="0.3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6"/>
  <sheetViews>
    <sheetView topLeftCell="A7" workbookViewId="0"/>
  </sheetViews>
  <sheetFormatPr defaultColWidth="10.5" defaultRowHeight="16.5"/>
  <cols>
    <col min="1" max="1" width="10.625" style="5" customWidth="1"/>
    <col min="2" max="2" width="11.5" style="5" customWidth="1"/>
    <col min="3" max="3" width="11.125" style="5" customWidth="1"/>
    <col min="4" max="4" width="11.5" style="5" customWidth="1"/>
    <col min="5" max="7" width="10.5" style="5"/>
    <col min="8" max="8" width="10.375" style="5" customWidth="1"/>
    <col min="9" max="16384" width="10.5" style="5"/>
  </cols>
  <sheetData>
    <row r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>
      <c r="A2" s="6" t="s">
        <v>81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4">
      <c r="A3" s="9" t="s">
        <v>265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4" s="16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4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4">
      <c r="A6" s="22" t="s">
        <v>291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3"/>
    </row>
    <row r="7" spans="1:14">
      <c r="A7" s="24" t="s">
        <v>290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9" spans="1:14">
      <c r="A9" s="5" t="s">
        <v>271</v>
      </c>
      <c r="B9" s="5">
        <v>600000</v>
      </c>
    </row>
    <row r="11" spans="1:14">
      <c r="A11" s="5" t="s">
        <v>272</v>
      </c>
      <c r="B11" s="5" t="s">
        <v>273</v>
      </c>
      <c r="H11" s="5" t="s">
        <v>86</v>
      </c>
      <c r="J11" s="5" t="s">
        <v>85</v>
      </c>
    </row>
    <row r="12" spans="1:14">
      <c r="A12" s="5" t="s">
        <v>224</v>
      </c>
      <c r="B12" s="5">
        <v>800</v>
      </c>
      <c r="H12" s="60" t="s">
        <v>152</v>
      </c>
      <c r="I12" s="61">
        <f>+B9*0.9/4</f>
        <v>135000</v>
      </c>
      <c r="J12" s="73" t="s">
        <v>231</v>
      </c>
      <c r="K12" s="74"/>
    </row>
    <row r="13" spans="1:14" ht="17.25" customHeight="1">
      <c r="A13" s="5" t="s">
        <v>238</v>
      </c>
      <c r="B13" s="5">
        <v>600</v>
      </c>
      <c r="H13" s="62"/>
      <c r="I13" s="63"/>
      <c r="J13" s="55"/>
      <c r="K13" s="57"/>
    </row>
    <row r="14" spans="1:14" ht="17.25" customHeight="1">
      <c r="A14" s="5" t="s">
        <v>231</v>
      </c>
      <c r="B14" s="5">
        <f>+B12-B13</f>
        <v>200</v>
      </c>
      <c r="H14" s="55" t="s">
        <v>90</v>
      </c>
      <c r="I14" s="56"/>
      <c r="J14" s="55"/>
      <c r="K14" s="57"/>
    </row>
    <row r="15" spans="1:14" ht="17.25" customHeight="1">
      <c r="H15" s="55" t="s">
        <v>281</v>
      </c>
      <c r="I15" s="56" t="s">
        <v>280</v>
      </c>
      <c r="J15" s="55"/>
      <c r="K15" s="57"/>
    </row>
    <row r="16" spans="1:14">
      <c r="H16" s="55">
        <f>+(K16-$I$12)*0.4</f>
        <v>-6000</v>
      </c>
      <c r="I16" s="64">
        <f>+(K16-$I$12)*0.6</f>
        <v>-9000</v>
      </c>
      <c r="J16" s="55" t="s">
        <v>276</v>
      </c>
      <c r="K16" s="57">
        <f>+C22</f>
        <v>120000</v>
      </c>
      <c r="L16" s="5">
        <f>+E22</f>
        <v>360000</v>
      </c>
    </row>
    <row r="17" spans="1:11">
      <c r="C17" s="5" t="s">
        <v>209</v>
      </c>
      <c r="D17" s="5" t="s">
        <v>210</v>
      </c>
      <c r="E17" s="5" t="s">
        <v>21</v>
      </c>
      <c r="F17" s="5" t="s">
        <v>274</v>
      </c>
      <c r="H17" s="55">
        <f t="shared" ref="H17:H19" si="0">+(K17-$I$12)*0.4</f>
        <v>42000</v>
      </c>
      <c r="I17" s="64">
        <f t="shared" ref="I17:I19" si="1">+(K17-$I$12)*0.6</f>
        <v>63000</v>
      </c>
      <c r="J17" s="55" t="s">
        <v>277</v>
      </c>
      <c r="K17" s="57">
        <f>+D22</f>
        <v>240000</v>
      </c>
    </row>
    <row r="18" spans="1:11">
      <c r="A18" s="16" t="s">
        <v>52</v>
      </c>
      <c r="B18" s="63">
        <f>-B9</f>
        <v>-600000</v>
      </c>
      <c r="C18" s="50"/>
      <c r="D18" s="50"/>
      <c r="E18" s="18"/>
      <c r="F18" s="18">
        <f>-B18*0.1</f>
        <v>60000</v>
      </c>
      <c r="H18" s="55">
        <f t="shared" si="0"/>
        <v>90000</v>
      </c>
      <c r="I18" s="64">
        <f t="shared" si="1"/>
        <v>135000</v>
      </c>
      <c r="J18" s="55" t="s">
        <v>278</v>
      </c>
      <c r="K18" s="57">
        <f>+E22</f>
        <v>360000</v>
      </c>
    </row>
    <row r="19" spans="1:11">
      <c r="A19" s="16"/>
      <c r="B19" s="54"/>
      <c r="C19" s="75"/>
      <c r="D19" s="75"/>
      <c r="E19" s="75"/>
      <c r="F19" s="75"/>
      <c r="H19" s="58">
        <f t="shared" si="0"/>
        <v>66000</v>
      </c>
      <c r="I19" s="65">
        <f t="shared" si="1"/>
        <v>99000</v>
      </c>
      <c r="J19" s="58" t="s">
        <v>279</v>
      </c>
      <c r="K19" s="59">
        <f>+F22</f>
        <v>300000</v>
      </c>
    </row>
    <row r="20" spans="1:11">
      <c r="A20" s="5" t="s">
        <v>288</v>
      </c>
    </row>
    <row r="21" spans="1:11">
      <c r="A21" s="5" t="s">
        <v>275</v>
      </c>
      <c r="C21" s="5">
        <v>600</v>
      </c>
      <c r="D21" s="5">
        <v>1200</v>
      </c>
      <c r="E21" s="5">
        <v>1800</v>
      </c>
      <c r="F21" s="5">
        <v>1500</v>
      </c>
    </row>
    <row r="22" spans="1:11">
      <c r="A22" s="5" t="s">
        <v>266</v>
      </c>
      <c r="C22" s="5">
        <f>+$B$14*C21</f>
        <v>120000</v>
      </c>
      <c r="D22" s="5">
        <f t="shared" ref="D22:F22" si="2">+$B$14*D21</f>
        <v>240000</v>
      </c>
      <c r="E22" s="5">
        <f t="shared" si="2"/>
        <v>360000</v>
      </c>
      <c r="F22" s="5">
        <f t="shared" si="2"/>
        <v>300000</v>
      </c>
    </row>
    <row r="23" spans="1:11">
      <c r="A23" s="5" t="s">
        <v>267</v>
      </c>
      <c r="C23" s="5">
        <f>-H16</f>
        <v>6000</v>
      </c>
      <c r="D23" s="5">
        <f>-H17</f>
        <v>-42000</v>
      </c>
      <c r="E23" s="5">
        <f>-H18</f>
        <v>-90000</v>
      </c>
      <c r="F23" s="5">
        <f>-H19</f>
        <v>-66000</v>
      </c>
    </row>
    <row r="24" spans="1:11">
      <c r="A24" s="5" t="s">
        <v>282</v>
      </c>
      <c r="C24" s="27">
        <f>+SUM(C22:C23)</f>
        <v>126000</v>
      </c>
      <c r="D24" s="27">
        <f t="shared" ref="D24:F24" si="3">+SUM(D22:D23)</f>
        <v>198000</v>
      </c>
      <c r="E24" s="27">
        <f t="shared" si="3"/>
        <v>270000</v>
      </c>
      <c r="F24" s="27">
        <f t="shared" si="3"/>
        <v>234000</v>
      </c>
      <c r="G24" s="5" t="s">
        <v>283</v>
      </c>
    </row>
    <row r="25" spans="1:11">
      <c r="A25" s="5" t="s">
        <v>268</v>
      </c>
      <c r="C25" s="5">
        <f>+D34-C34</f>
        <v>20000</v>
      </c>
      <c r="D25" s="5">
        <f t="shared" ref="D25:F25" si="4">+E34-D34</f>
        <v>20000</v>
      </c>
      <c r="E25" s="5">
        <f t="shared" si="4"/>
        <v>0</v>
      </c>
      <c r="F25" s="5">
        <f t="shared" si="4"/>
        <v>-40000</v>
      </c>
    </row>
    <row r="26" spans="1:11">
      <c r="A26" s="5" t="s">
        <v>269</v>
      </c>
      <c r="C26" s="5">
        <f>-D35+C35</f>
        <v>-60000</v>
      </c>
      <c r="D26" s="5">
        <f t="shared" ref="D26:F26" si="5">-E35+D35</f>
        <v>20000</v>
      </c>
      <c r="E26" s="5">
        <f t="shared" si="5"/>
        <v>0</v>
      </c>
      <c r="F26" s="5">
        <f t="shared" si="5"/>
        <v>40000</v>
      </c>
    </row>
    <row r="27" spans="1:11">
      <c r="A27" s="5" t="s">
        <v>270</v>
      </c>
      <c r="B27" s="5">
        <f>-C36+B36</f>
        <v>-60000</v>
      </c>
      <c r="C27" s="5">
        <f>-D36+C36</f>
        <v>-90000</v>
      </c>
      <c r="D27" s="5">
        <f t="shared" ref="D27:F27" si="6">-E36+D36</f>
        <v>-30000</v>
      </c>
      <c r="E27" s="5">
        <f t="shared" si="6"/>
        <v>0</v>
      </c>
      <c r="F27" s="5">
        <f t="shared" si="6"/>
        <v>180000</v>
      </c>
    </row>
    <row r="28" spans="1:11" ht="17.25" thickBot="1">
      <c r="A28" s="5" t="s">
        <v>140</v>
      </c>
      <c r="B28" s="78">
        <f>+SUM(B18:B27)</f>
        <v>-660000</v>
      </c>
      <c r="C28" s="78">
        <f>+SUM(C24:C27)</f>
        <v>-4000</v>
      </c>
      <c r="D28" s="78">
        <f t="shared" ref="D28:E28" si="7">+SUM(D24:D27)</f>
        <v>208000</v>
      </c>
      <c r="E28" s="78">
        <f t="shared" si="7"/>
        <v>270000</v>
      </c>
      <c r="F28" s="78">
        <f>+SUM(F24:F27)+F18</f>
        <v>474000</v>
      </c>
    </row>
    <row r="29" spans="1:11" ht="17.25" thickTop="1">
      <c r="A29" s="5" t="s">
        <v>51</v>
      </c>
      <c r="C29" s="102">
        <v>0.90910000000000002</v>
      </c>
      <c r="D29" s="102">
        <v>0.82640000000000002</v>
      </c>
      <c r="E29" s="102">
        <v>0.75129999999999997</v>
      </c>
      <c r="F29" s="102">
        <v>0.68300000000000005</v>
      </c>
    </row>
    <row r="30" spans="1:11" ht="17.25" thickBot="1">
      <c r="A30" s="5" t="s">
        <v>53</v>
      </c>
      <c r="B30" s="5">
        <f>+SUM(C30:F30)</f>
        <v>694847.8</v>
      </c>
      <c r="C30" s="5">
        <f>+C28*C29</f>
        <v>-3636.4</v>
      </c>
      <c r="D30" s="5">
        <f t="shared" ref="D30:E30" si="8">+D28*D29</f>
        <v>171891.20000000001</v>
      </c>
      <c r="E30" s="5">
        <f t="shared" si="8"/>
        <v>202851</v>
      </c>
      <c r="F30" s="5">
        <f>+F28*F29</f>
        <v>323742</v>
      </c>
    </row>
    <row r="31" spans="1:11" ht="17.25" thickBot="1">
      <c r="A31" s="5" t="s">
        <v>289</v>
      </c>
      <c r="B31" s="13">
        <f>+SUM(B28:B30)</f>
        <v>34847.800000000047</v>
      </c>
    </row>
    <row r="33" spans="1:7">
      <c r="A33" s="5" t="s">
        <v>284</v>
      </c>
    </row>
    <row r="34" spans="1:7">
      <c r="A34" s="5" t="s">
        <v>285</v>
      </c>
      <c r="C34" s="5">
        <v>0</v>
      </c>
      <c r="D34" s="5">
        <v>20000</v>
      </c>
      <c r="E34" s="5">
        <v>40000</v>
      </c>
      <c r="F34" s="5">
        <v>40000</v>
      </c>
      <c r="G34" s="5">
        <v>0</v>
      </c>
    </row>
    <row r="35" spans="1:7">
      <c r="A35" s="5" t="s">
        <v>286</v>
      </c>
      <c r="C35" s="5">
        <v>0</v>
      </c>
      <c r="D35" s="5">
        <v>60000</v>
      </c>
      <c r="E35" s="5">
        <v>40000</v>
      </c>
      <c r="F35" s="5">
        <v>40000</v>
      </c>
      <c r="G35" s="5">
        <v>0</v>
      </c>
    </row>
    <row r="36" spans="1:7">
      <c r="A36" s="5" t="s">
        <v>287</v>
      </c>
      <c r="C36" s="5">
        <v>60000</v>
      </c>
      <c r="D36" s="5">
        <v>150000</v>
      </c>
      <c r="E36" s="5">
        <v>180000</v>
      </c>
      <c r="F36" s="5">
        <v>180000</v>
      </c>
      <c r="G36" s="5">
        <v>0</v>
      </c>
    </row>
  </sheetData>
  <phoneticPr fontId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8例題1</vt:lpstr>
      <vt:lpstr>8例題2</vt:lpstr>
      <vt:lpstr>8問題2</vt:lpstr>
      <vt:lpstr>9例題1</vt:lpstr>
      <vt:lpstr>9例題2</vt:lpstr>
      <vt:lpstr>9例題3</vt:lpstr>
      <vt:lpstr>9問題1</vt:lpstr>
      <vt:lpstr>9問題2</vt:lpstr>
      <vt:lpstr>9問題3</vt:lpstr>
      <vt:lpstr>9問題4</vt:lpstr>
      <vt:lpstr>10例題1</vt:lpstr>
      <vt:lpstr>10例題2</vt:lpstr>
      <vt:lpstr>10例題3</vt:lpstr>
      <vt:lpstr>10問題1</vt:lpstr>
      <vt:lpstr>10問題2</vt:lpstr>
      <vt:lpstr>10問題3</vt:lpstr>
      <vt:lpstr>11例題1</vt:lpstr>
      <vt:lpstr>11例題2</vt:lpstr>
      <vt:lpstr>11例題3</vt:lpstr>
      <vt:lpstr>11問題1</vt:lpstr>
      <vt:lpstr>11問題2</vt:lpstr>
      <vt:lpstr>12例題1</vt:lpstr>
      <vt:lpstr>12例題2</vt:lpstr>
      <vt:lpstr>12問題1</vt:lpstr>
      <vt:lpstr>12問題2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2017-03-30T05:37:31Z</dcterms:created>
  <dcterms:modified xsi:type="dcterms:W3CDTF">2017-11-25T07:17:22Z</dcterms:modified>
</cp:coreProperties>
</file>