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退避保存用フォルダ\"/>
    </mc:Choice>
  </mc:AlternateContent>
  <xr:revisionPtr revIDLastSave="0" documentId="10_ncr:100000_{F26CFEFE-82F3-4550-BFCB-D60FEE950A6D}" xr6:coauthVersionLast="31" xr6:coauthVersionMax="31" xr10:uidLastSave="{00000000-0000-0000-0000-000000000000}"/>
  <bookViews>
    <workbookView xWindow="31248" yWindow="0" windowWidth="19200" windowHeight="8892" xr2:uid="{00000000-000D-0000-FFFF-FFFF00000000}"/>
  </bookViews>
  <sheets>
    <sheet name="目次" sheetId="13" r:id="rId1"/>
    <sheet name="Case3 ①" sheetId="14" r:id="rId2"/>
    <sheet name="Case4,5 ②" sheetId="37" r:id="rId3"/>
    <sheet name="Case6 ③" sheetId="38" r:id="rId4"/>
    <sheet name="Case7 ④⑤" sheetId="39" r:id="rId5"/>
    <sheet name="Case9 ⑥" sheetId="40" r:id="rId6"/>
    <sheet name="Case10 ⑦" sheetId="41" r:id="rId7"/>
    <sheet name="Case11" sheetId="43" r:id="rId8"/>
    <sheet name="Case12 ⑧" sheetId="42" r:id="rId9"/>
    <sheet name="Case13 ⑨" sheetId="44" r:id="rId10"/>
    <sheet name="Case14 ⑩" sheetId="45" r:id="rId11"/>
    <sheet name="Case16 ⑪⑫" sheetId="46" r:id="rId12"/>
    <sheet name="Case17" sheetId="49" r:id="rId13"/>
    <sheet name="Case18" sheetId="50" r:id="rId14"/>
    <sheet name="Case19,20 ⑬⑭⑮" sheetId="47" r:id="rId15"/>
    <sheet name="白紙 (10)" sheetId="51" r:id="rId1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47" l="1"/>
  <c r="H43" i="47"/>
  <c r="H42" i="47"/>
  <c r="I43" i="47"/>
  <c r="I42" i="47"/>
  <c r="I45" i="47" s="1"/>
  <c r="E42" i="47"/>
  <c r="I25" i="47"/>
  <c r="R133" i="47"/>
  <c r="F134" i="47"/>
  <c r="I134" i="47"/>
  <c r="M134" i="47"/>
  <c r="M139" i="47" s="1"/>
  <c r="M141" i="47" s="1"/>
  <c r="D136" i="47"/>
  <c r="E136" i="47" s="1"/>
  <c r="I136" i="47"/>
  <c r="M136" i="47"/>
  <c r="D137" i="47"/>
  <c r="E137" i="47" s="1"/>
  <c r="I137" i="47"/>
  <c r="M137" i="47"/>
  <c r="I138" i="47"/>
  <c r="M138" i="47"/>
  <c r="I140" i="47"/>
  <c r="M140" i="47"/>
  <c r="R141" i="47"/>
  <c r="I143" i="47"/>
  <c r="M143" i="47"/>
  <c r="F144" i="47"/>
  <c r="I144" i="47"/>
  <c r="M144" i="47"/>
  <c r="F151" i="47"/>
  <c r="E22" i="50"/>
  <c r="E14" i="50"/>
  <c r="H44" i="47" l="1"/>
  <c r="I44" i="47"/>
  <c r="I139" i="47"/>
  <c r="I141" i="47" s="1"/>
  <c r="F138" i="47"/>
  <c r="F139" i="47" s="1"/>
  <c r="F141" i="47" s="1"/>
  <c r="N141" i="47"/>
  <c r="M149" i="47" s="1"/>
  <c r="M150" i="47" s="1"/>
  <c r="M145" i="47"/>
  <c r="I145" i="47"/>
  <c r="J141" i="47"/>
  <c r="I149" i="47" s="1"/>
  <c r="I150" i="47" s="1"/>
  <c r="F145" i="47"/>
  <c r="G141" i="47"/>
  <c r="F149" i="47" s="1"/>
  <c r="F150" i="47" s="1"/>
  <c r="M151" i="47"/>
  <c r="I151" i="47"/>
  <c r="G43" i="49"/>
  <c r="G42" i="49"/>
  <c r="G41" i="49"/>
  <c r="G40" i="49"/>
  <c r="F44" i="49"/>
  <c r="E44" i="49"/>
  <c r="D44" i="49"/>
  <c r="F23" i="49"/>
  <c r="F24" i="49" s="1"/>
  <c r="E23" i="49"/>
  <c r="E24" i="49" s="1"/>
  <c r="D23" i="49"/>
  <c r="D24" i="49" s="1"/>
  <c r="F26" i="49"/>
  <c r="F25" i="49" s="1"/>
  <c r="F32" i="49" s="1"/>
  <c r="F42" i="49" s="1"/>
  <c r="E26" i="49"/>
  <c r="E25" i="49" s="1"/>
  <c r="E32" i="49" s="1"/>
  <c r="E42" i="49" s="1"/>
  <c r="D26" i="49"/>
  <c r="F30" i="49"/>
  <c r="F40" i="49" s="1"/>
  <c r="E30" i="49"/>
  <c r="E40" i="49" s="1"/>
  <c r="D30" i="49"/>
  <c r="D40" i="49" s="1"/>
  <c r="H18" i="49"/>
  <c r="H20" i="49"/>
  <c r="H17" i="49"/>
  <c r="F19" i="49"/>
  <c r="F21" i="49" s="1"/>
  <c r="E19" i="49"/>
  <c r="E21" i="49" s="1"/>
  <c r="D19" i="49"/>
  <c r="E63" i="47"/>
  <c r="E64" i="47"/>
  <c r="E65" i="47"/>
  <c r="I66" i="47"/>
  <c r="I65" i="47" s="1"/>
  <c r="F72" i="47"/>
  <c r="G72" i="47" s="1"/>
  <c r="D74" i="47"/>
  <c r="E74" i="47"/>
  <c r="F74" i="47" s="1"/>
  <c r="D80" i="47"/>
  <c r="D90" i="47"/>
  <c r="I146" i="47" l="1"/>
  <c r="I147" i="47"/>
  <c r="E66" i="47"/>
  <c r="F147" i="47"/>
  <c r="F146" i="47"/>
  <c r="M146" i="47"/>
  <c r="M147" i="47" s="1"/>
  <c r="E34" i="49"/>
  <c r="D34" i="49"/>
  <c r="H30" i="49"/>
  <c r="H40" i="49" s="1"/>
  <c r="F34" i="49"/>
  <c r="H44" i="49"/>
  <c r="D31" i="49"/>
  <c r="H24" i="49"/>
  <c r="H13" i="49" s="1"/>
  <c r="G13" i="49" s="1"/>
  <c r="E31" i="49"/>
  <c r="F31" i="49"/>
  <c r="H26" i="49"/>
  <c r="H23" i="49"/>
  <c r="H19" i="49"/>
  <c r="D25" i="49"/>
  <c r="D32" i="49" s="1"/>
  <c r="D21" i="49"/>
  <c r="H21" i="49" s="1"/>
  <c r="N62" i="47"/>
  <c r="G65" i="47"/>
  <c r="D81" i="47" s="1"/>
  <c r="D82" i="47" s="1"/>
  <c r="D84" i="47" s="1"/>
  <c r="E75" i="47"/>
  <c r="G74" i="47"/>
  <c r="D83" i="47"/>
  <c r="E48" i="47"/>
  <c r="D48" i="47"/>
  <c r="E43" i="47"/>
  <c r="D43" i="47"/>
  <c r="E39" i="47"/>
  <c r="D39" i="47"/>
  <c r="F39" i="47" s="1"/>
  <c r="F22" i="47"/>
  <c r="E37" i="47"/>
  <c r="E32" i="47"/>
  <c r="E31" i="47"/>
  <c r="E29" i="47"/>
  <c r="D32" i="47"/>
  <c r="F32" i="47" s="1"/>
  <c r="D31" i="47"/>
  <c r="F31" i="47" s="1"/>
  <c r="D29" i="47"/>
  <c r="E20" i="47"/>
  <c r="E35" i="47" s="1"/>
  <c r="D20" i="47"/>
  <c r="D37" i="47" s="1"/>
  <c r="F37" i="47" s="1"/>
  <c r="M152" i="47" l="1"/>
  <c r="M161" i="47"/>
  <c r="F161" i="47"/>
  <c r="F152" i="47"/>
  <c r="I152" i="47"/>
  <c r="I161" i="47"/>
  <c r="D33" i="47"/>
  <c r="E33" i="49"/>
  <c r="E43" i="49" s="1"/>
  <c r="E41" i="49"/>
  <c r="H31" i="49"/>
  <c r="H41" i="49" s="1"/>
  <c r="D41" i="49"/>
  <c r="H32" i="49"/>
  <c r="H42" i="49" s="1"/>
  <c r="D42" i="49"/>
  <c r="F33" i="49"/>
  <c r="F43" i="49" s="1"/>
  <c r="F41" i="49"/>
  <c r="H34" i="49"/>
  <c r="E35" i="49"/>
  <c r="E45" i="49"/>
  <c r="F35" i="49"/>
  <c r="D33" i="49"/>
  <c r="D43" i="49" s="1"/>
  <c r="G46" i="49"/>
  <c r="H46" i="49" s="1"/>
  <c r="H25" i="49"/>
  <c r="D34" i="47"/>
  <c r="F75" i="47"/>
  <c r="D85" i="47" s="1"/>
  <c r="D86" i="47" s="1"/>
  <c r="D35" i="47"/>
  <c r="F35" i="47" s="1"/>
  <c r="E33" i="47"/>
  <c r="F29" i="47"/>
  <c r="E34" i="47"/>
  <c r="E36" i="47" s="1"/>
  <c r="K115" i="47"/>
  <c r="I106" i="47"/>
  <c r="H115" i="47" s="1"/>
  <c r="O115" i="47" s="1"/>
  <c r="D113" i="47"/>
  <c r="I103" i="47"/>
  <c r="H101" i="47"/>
  <c r="I101" i="47" s="1"/>
  <c r="F103" i="47"/>
  <c r="D116" i="47" s="1"/>
  <c r="F101" i="47"/>
  <c r="D114" i="47" s="1"/>
  <c r="D102" i="47"/>
  <c r="D104" i="47" s="1"/>
  <c r="G43" i="46"/>
  <c r="G42" i="46"/>
  <c r="G41" i="46"/>
  <c r="D49" i="46"/>
  <c r="D50" i="46"/>
  <c r="D44" i="46"/>
  <c r="D43" i="46"/>
  <c r="D42" i="46"/>
  <c r="D41" i="46"/>
  <c r="D36" i="46"/>
  <c r="L86" i="46"/>
  <c r="L85" i="46"/>
  <c r="L82" i="46"/>
  <c r="F85" i="46"/>
  <c r="F82" i="46"/>
  <c r="E76" i="46"/>
  <c r="B76" i="46"/>
  <c r="M65" i="46"/>
  <c r="M61" i="46"/>
  <c r="I65" i="46"/>
  <c r="J61" i="46"/>
  <c r="I61" i="46"/>
  <c r="K79" i="46"/>
  <c r="H79" i="46"/>
  <c r="E79" i="46"/>
  <c r="B79" i="46"/>
  <c r="F69" i="46"/>
  <c r="L76" i="46" s="1"/>
  <c r="E69" i="46"/>
  <c r="I76" i="46" s="1"/>
  <c r="D69" i="46"/>
  <c r="F76" i="46" s="1"/>
  <c r="C69" i="46"/>
  <c r="G68" i="46"/>
  <c r="G67" i="46"/>
  <c r="G66" i="46"/>
  <c r="G65" i="46"/>
  <c r="G64" i="46"/>
  <c r="G63" i="46"/>
  <c r="L61" i="46" s="1"/>
  <c r="G61" i="46"/>
  <c r="D33" i="46"/>
  <c r="D29" i="46"/>
  <c r="D26" i="46"/>
  <c r="F54" i="46"/>
  <c r="G51" i="46"/>
  <c r="C51" i="46"/>
  <c r="G50" i="46"/>
  <c r="D48" i="46"/>
  <c r="G47" i="46"/>
  <c r="C46" i="46"/>
  <c r="F45" i="46"/>
  <c r="F48" i="46" s="1"/>
  <c r="D45" i="46"/>
  <c r="D23" i="46"/>
  <c r="C23" i="46"/>
  <c r="D32" i="46" s="1"/>
  <c r="D34" i="46" s="1"/>
  <c r="L13" i="46"/>
  <c r="K17" i="46" s="1"/>
  <c r="H17" i="46"/>
  <c r="E15" i="46"/>
  <c r="E14" i="46"/>
  <c r="H242" i="46"/>
  <c r="I242" i="46" s="1"/>
  <c r="H241" i="46"/>
  <c r="I241" i="46" s="1"/>
  <c r="D243" i="46"/>
  <c r="E243" i="46" s="1"/>
  <c r="D242" i="46"/>
  <c r="E242" i="46" s="1"/>
  <c r="I267" i="46"/>
  <c r="I254" i="46"/>
  <c r="H254" i="46" s="1"/>
  <c r="N267" i="46"/>
  <c r="N258" i="46"/>
  <c r="E236" i="46"/>
  <c r="L262" i="46" s="1"/>
  <c r="D236" i="46"/>
  <c r="N264" i="46"/>
  <c r="N255" i="46"/>
  <c r="L253" i="46"/>
  <c r="F254" i="46"/>
  <c r="E254" i="46" s="1"/>
  <c r="N254" i="46" s="1"/>
  <c r="B254" i="46"/>
  <c r="C254" i="46" s="1"/>
  <c r="L255" i="46" s="1"/>
  <c r="I191" i="46"/>
  <c r="D227" i="46" s="1"/>
  <c r="E227" i="46" s="1"/>
  <c r="L208" i="46"/>
  <c r="K208" i="46" s="1"/>
  <c r="I212" i="46" s="1"/>
  <c r="B198" i="46"/>
  <c r="I208" i="46"/>
  <c r="H208" i="46" s="1"/>
  <c r="F212" i="46" s="1"/>
  <c r="F208" i="46"/>
  <c r="E208" i="46" s="1"/>
  <c r="C212" i="46" s="1"/>
  <c r="C208" i="46"/>
  <c r="D118" i="47" l="1"/>
  <c r="D120" i="47" s="1"/>
  <c r="F45" i="49"/>
  <c r="D45" i="49"/>
  <c r="D35" i="49"/>
  <c r="H35" i="49" s="1"/>
  <c r="H33" i="49"/>
  <c r="H43" i="49" s="1"/>
  <c r="G75" i="47"/>
  <c r="D87" i="47" s="1"/>
  <c r="D88" i="47" s="1"/>
  <c r="D89" i="47" s="1"/>
  <c r="E45" i="47"/>
  <c r="E44" i="47"/>
  <c r="E38" i="47"/>
  <c r="D36" i="47"/>
  <c r="F34" i="47"/>
  <c r="F33" i="47"/>
  <c r="D115" i="47"/>
  <c r="D117" i="47" s="1"/>
  <c r="D119" i="47" s="1"/>
  <c r="H114" i="47" s="1"/>
  <c r="G103" i="47"/>
  <c r="D122" i="47" s="1"/>
  <c r="L65" i="46"/>
  <c r="G69" i="46"/>
  <c r="C76" i="46"/>
  <c r="C81" i="46" s="1"/>
  <c r="C85" i="46" s="1"/>
  <c r="F81" i="46" s="1"/>
  <c r="H76" i="46" s="1"/>
  <c r="I81" i="46" s="1"/>
  <c r="I85" i="46" s="1"/>
  <c r="K76" i="46" s="1"/>
  <c r="L81" i="46" s="1"/>
  <c r="D46" i="46"/>
  <c r="E244" i="46"/>
  <c r="F55" i="46"/>
  <c r="D51" i="46"/>
  <c r="C55" i="46"/>
  <c r="G45" i="46"/>
  <c r="G48" i="46" s="1"/>
  <c r="E16" i="46"/>
  <c r="D27" i="46" s="1"/>
  <c r="D28" i="46" s="1"/>
  <c r="D244" i="46"/>
  <c r="H212" i="46"/>
  <c r="I198" i="46" s="1"/>
  <c r="H198" i="46" s="1"/>
  <c r="F202" i="46" s="1"/>
  <c r="E239" i="46" s="1"/>
  <c r="D220" i="46"/>
  <c r="E220" i="46"/>
  <c r="D223" i="46"/>
  <c r="E223" i="46"/>
  <c r="E212" i="46"/>
  <c r="F198" i="46" s="1"/>
  <c r="E198" i="46" s="1"/>
  <c r="C202" i="46" s="1"/>
  <c r="D239" i="46" s="1"/>
  <c r="H191" i="46"/>
  <c r="D226" i="46" s="1"/>
  <c r="E191" i="46"/>
  <c r="E190" i="46"/>
  <c r="G238" i="46"/>
  <c r="G244" i="46"/>
  <c r="C244" i="46"/>
  <c r="C240" i="46"/>
  <c r="H45" i="49" l="1"/>
  <c r="H47" i="49" s="1"/>
  <c r="F36" i="47"/>
  <c r="D38" i="47"/>
  <c r="D42" i="47"/>
  <c r="E47" i="47"/>
  <c r="E40" i="47"/>
  <c r="D121" i="47"/>
  <c r="K114" i="47" s="1"/>
  <c r="H118" i="47"/>
  <c r="O114" i="47"/>
  <c r="H116" i="47"/>
  <c r="D30" i="46"/>
  <c r="D35" i="46" s="1"/>
  <c r="D37" i="46" s="1"/>
  <c r="J65" i="46"/>
  <c r="D55" i="46"/>
  <c r="G55" i="46" s="1"/>
  <c r="G54" i="46" s="1"/>
  <c r="G53" i="46" s="1"/>
  <c r="E202" i="46"/>
  <c r="F267" i="46" s="1"/>
  <c r="E267" i="46" s="1"/>
  <c r="I236" i="46" s="1"/>
  <c r="B267" i="46"/>
  <c r="L263" i="46" s="1"/>
  <c r="B258" i="46"/>
  <c r="C258" i="46" s="1"/>
  <c r="E226" i="46"/>
  <c r="E228" i="46" s="1"/>
  <c r="D228" i="46"/>
  <c r="G245" i="46"/>
  <c r="C245" i="46"/>
  <c r="E192" i="46"/>
  <c r="L137" i="46"/>
  <c r="K137" i="46"/>
  <c r="G137" i="46"/>
  <c r="G136" i="46"/>
  <c r="G135" i="46"/>
  <c r="G132" i="46"/>
  <c r="C176" i="46"/>
  <c r="G129" i="46" s="1"/>
  <c r="G127" i="46"/>
  <c r="D135" i="46"/>
  <c r="D134" i="46"/>
  <c r="D133" i="46"/>
  <c r="D130" i="46"/>
  <c r="D129" i="46"/>
  <c r="C175" i="46"/>
  <c r="K165" i="46"/>
  <c r="H165" i="46"/>
  <c r="E165" i="46"/>
  <c r="B165" i="46"/>
  <c r="G155" i="46"/>
  <c r="G154" i="46"/>
  <c r="G153" i="46"/>
  <c r="G152" i="46"/>
  <c r="G151" i="46"/>
  <c r="G150" i="46"/>
  <c r="G149" i="46"/>
  <c r="L147" i="46" s="1"/>
  <c r="G147" i="46"/>
  <c r="J147" i="46" s="1"/>
  <c r="F156" i="46"/>
  <c r="L162" i="46" s="1"/>
  <c r="E156" i="46"/>
  <c r="I162" i="46" s="1"/>
  <c r="D156" i="46"/>
  <c r="F162" i="46" s="1"/>
  <c r="C156" i="46"/>
  <c r="B162" i="46"/>
  <c r="M147" i="46"/>
  <c r="I147" i="46"/>
  <c r="D117" i="46"/>
  <c r="D114" i="46"/>
  <c r="I151" i="46" s="1"/>
  <c r="L96" i="46"/>
  <c r="K100" i="46" s="1"/>
  <c r="I96" i="46"/>
  <c r="H100" i="46" s="1"/>
  <c r="E100" i="46"/>
  <c r="E99" i="46"/>
  <c r="E97" i="46"/>
  <c r="D44" i="47" l="1"/>
  <c r="D45" i="47"/>
  <c r="F38" i="47"/>
  <c r="F40" i="47" s="1"/>
  <c r="D47" i="47"/>
  <c r="D40" i="47"/>
  <c r="E49" i="47"/>
  <c r="E50" i="47"/>
  <c r="D123" i="47"/>
  <c r="O118" i="47"/>
  <c r="O116" i="47"/>
  <c r="K118" i="47"/>
  <c r="K116" i="47"/>
  <c r="E238" i="46"/>
  <c r="D238" i="46"/>
  <c r="B263" i="46"/>
  <c r="C263" i="46" s="1"/>
  <c r="D237" i="46"/>
  <c r="L254" i="46"/>
  <c r="N262" i="46"/>
  <c r="B208" i="46"/>
  <c r="B212" i="46" s="1"/>
  <c r="C198" i="46" s="1"/>
  <c r="B202" i="46" s="1"/>
  <c r="D221" i="46"/>
  <c r="D222" i="46" s="1"/>
  <c r="D224" i="46" s="1"/>
  <c r="D229" i="46" s="1"/>
  <c r="D231" i="46" s="1"/>
  <c r="L243" i="46" s="1"/>
  <c r="E221" i="46"/>
  <c r="E222" i="46" s="1"/>
  <c r="E224" i="46" s="1"/>
  <c r="E229" i="46" s="1"/>
  <c r="D119" i="46"/>
  <c r="G156" i="46"/>
  <c r="C162" i="46"/>
  <c r="C167" i="46" s="1"/>
  <c r="C171" i="46" s="1"/>
  <c r="E162" i="46" s="1"/>
  <c r="F167" i="46" s="1"/>
  <c r="F171" i="46" s="1"/>
  <c r="H162" i="46" s="1"/>
  <c r="I167" i="46" s="1"/>
  <c r="I171" i="46" s="1"/>
  <c r="K162" i="46" s="1"/>
  <c r="L167" i="46" s="1"/>
  <c r="L171" i="46" s="1"/>
  <c r="D126" i="46" s="1"/>
  <c r="J151" i="46"/>
  <c r="D127" i="46" s="1"/>
  <c r="M151" i="46"/>
  <c r="L151" i="46" s="1"/>
  <c r="G126" i="46" s="1"/>
  <c r="E101" i="46"/>
  <c r="D136" i="46"/>
  <c r="F130" i="46"/>
  <c r="F133" i="46" s="1"/>
  <c r="F139" i="46"/>
  <c r="C136" i="46"/>
  <c r="C131" i="46"/>
  <c r="D13" i="45"/>
  <c r="C13" i="45"/>
  <c r="E36" i="45" s="1"/>
  <c r="D49" i="47" l="1"/>
  <c r="D50" i="47"/>
  <c r="D240" i="46"/>
  <c r="D245" i="46" s="1"/>
  <c r="H245" i="46" s="1"/>
  <c r="C267" i="46"/>
  <c r="E237" i="46" s="1"/>
  <c r="E240" i="46" s="1"/>
  <c r="E245" i="46" s="1"/>
  <c r="I245" i="46" s="1"/>
  <c r="L264" i="46"/>
  <c r="F258" i="46"/>
  <c r="E258" i="46" s="1"/>
  <c r="E37" i="45"/>
  <c r="E42" i="45" s="1"/>
  <c r="E39" i="45"/>
  <c r="E38" i="45"/>
  <c r="E35" i="45"/>
  <c r="D115" i="46"/>
  <c r="D116" i="46" s="1"/>
  <c r="D118" i="46" s="1"/>
  <c r="D120" i="46" s="1"/>
  <c r="D128" i="46"/>
  <c r="D131" i="46" s="1"/>
  <c r="D140" i="46" s="1"/>
  <c r="G140" i="46" s="1"/>
  <c r="F140" i="46"/>
  <c r="C140" i="46"/>
  <c r="C100" i="45"/>
  <c r="C99" i="45"/>
  <c r="D54" i="45"/>
  <c r="E100" i="45" s="1"/>
  <c r="C54" i="45"/>
  <c r="E90" i="45" s="1"/>
  <c r="F263" i="46" l="1"/>
  <c r="E263" i="46" s="1"/>
  <c r="N263" i="46" s="1"/>
  <c r="H236" i="46"/>
  <c r="N253" i="46"/>
  <c r="L256" i="46" s="1"/>
  <c r="D121" i="46"/>
  <c r="D122" i="46" s="1"/>
  <c r="K140" i="46" s="1"/>
  <c r="L140" i="46" s="1"/>
  <c r="E99" i="45"/>
  <c r="E102" i="45" s="1"/>
  <c r="E89" i="45"/>
  <c r="E93" i="45" s="1"/>
  <c r="E88" i="45"/>
  <c r="E87" i="45"/>
  <c r="C21" i="44"/>
  <c r="D21" i="44" s="1"/>
  <c r="D13" i="44"/>
  <c r="D20" i="44" s="1"/>
  <c r="C13" i="44"/>
  <c r="C58" i="44"/>
  <c r="D58" i="44" s="1"/>
  <c r="D48" i="44"/>
  <c r="C48" i="44"/>
  <c r="D47" i="44"/>
  <c r="C47" i="44"/>
  <c r="E47" i="44" s="1"/>
  <c r="D34" i="44"/>
  <c r="D57" i="44" s="1"/>
  <c r="C34" i="44"/>
  <c r="J36" i="43"/>
  <c r="H24" i="43"/>
  <c r="J24" i="43" s="1"/>
  <c r="I15" i="43"/>
  <c r="I14" i="43"/>
  <c r="J14" i="43" s="1"/>
  <c r="I13" i="43"/>
  <c r="I12" i="43"/>
  <c r="H12" i="43"/>
  <c r="H35" i="43"/>
  <c r="J35" i="43" s="1"/>
  <c r="J34" i="43"/>
  <c r="J33" i="43"/>
  <c r="J32" i="43"/>
  <c r="J23" i="43"/>
  <c r="J22" i="43"/>
  <c r="H15" i="43"/>
  <c r="J15" i="43" s="1"/>
  <c r="J18" i="43" s="1"/>
  <c r="J13" i="43"/>
  <c r="D35" i="43"/>
  <c r="D34" i="43"/>
  <c r="E34" i="43" s="1"/>
  <c r="D33" i="43"/>
  <c r="E33" i="43" s="1"/>
  <c r="D32" i="43"/>
  <c r="E32" i="43" s="1"/>
  <c r="C22" i="43"/>
  <c r="C25" i="43" s="1"/>
  <c r="E25" i="43" s="1"/>
  <c r="E28" i="43" s="1"/>
  <c r="E24" i="43"/>
  <c r="E23" i="43"/>
  <c r="E14" i="43"/>
  <c r="E13" i="43"/>
  <c r="E12" i="43"/>
  <c r="C15" i="43"/>
  <c r="E15" i="43" s="1"/>
  <c r="E18" i="43" s="1"/>
  <c r="N265" i="46" l="1"/>
  <c r="I258" i="46"/>
  <c r="H258" i="46" s="1"/>
  <c r="H25" i="43"/>
  <c r="J25" i="43" s="1"/>
  <c r="J28" i="43" s="1"/>
  <c r="E83" i="44"/>
  <c r="E87" i="44" s="1"/>
  <c r="E48" i="44"/>
  <c r="E23" i="44"/>
  <c r="G128" i="46"/>
  <c r="G130" i="46" s="1"/>
  <c r="G133" i="46" s="1"/>
  <c r="G139" i="46" s="1"/>
  <c r="G138" i="46" s="1"/>
  <c r="C177" i="46"/>
  <c r="C49" i="44"/>
  <c r="C20" i="44"/>
  <c r="E82" i="44"/>
  <c r="D49" i="44"/>
  <c r="C57" i="44"/>
  <c r="E81" i="44"/>
  <c r="E84" i="44"/>
  <c r="J38" i="43"/>
  <c r="J12" i="43"/>
  <c r="E22" i="43"/>
  <c r="C35" i="43"/>
  <c r="E35" i="43" s="1"/>
  <c r="E38" i="43" s="1"/>
  <c r="E22" i="42"/>
  <c r="H22" i="42" s="1"/>
  <c r="H13" i="42"/>
  <c r="H12" i="42"/>
  <c r="H14" i="42" s="1"/>
  <c r="I14" i="42" s="1"/>
  <c r="C20" i="42" s="1"/>
  <c r="H51" i="42"/>
  <c r="F48" i="42"/>
  <c r="E48" i="42"/>
  <c r="H50" i="42" s="1"/>
  <c r="H34" i="42"/>
  <c r="H35" i="42"/>
  <c r="H33" i="42"/>
  <c r="H237" i="46" l="1"/>
  <c r="H238" i="46" s="1"/>
  <c r="H244" i="46" s="1"/>
  <c r="H243" i="46" s="1"/>
  <c r="I263" i="46"/>
  <c r="E230" i="46"/>
  <c r="E231" i="46" s="1"/>
  <c r="M243" i="46" s="1"/>
  <c r="N266" i="46"/>
  <c r="H263" i="46" s="1"/>
  <c r="E20" i="42"/>
  <c r="D20" i="42"/>
  <c r="H23" i="42"/>
  <c r="H24" i="42" s="1"/>
  <c r="I24" i="42" s="1"/>
  <c r="C23" i="42" s="1"/>
  <c r="E49" i="44"/>
  <c r="F49" i="44" s="1"/>
  <c r="E51" i="44" s="1"/>
  <c r="D51" i="44" s="1"/>
  <c r="H49" i="42"/>
  <c r="H52" i="42" s="1"/>
  <c r="I52" i="42" s="1"/>
  <c r="C49" i="42" s="1"/>
  <c r="E49" i="42"/>
  <c r="F49" i="42"/>
  <c r="D49" i="42"/>
  <c r="H36" i="42"/>
  <c r="I36" i="42" s="1"/>
  <c r="C46" i="42" s="1"/>
  <c r="E27" i="41"/>
  <c r="G19" i="41"/>
  <c r="E23" i="41" s="1"/>
  <c r="E31" i="41" s="1"/>
  <c r="F16" i="41"/>
  <c r="F15" i="41"/>
  <c r="F14" i="41"/>
  <c r="F13" i="41"/>
  <c r="G12" i="41"/>
  <c r="G73" i="41"/>
  <c r="G69" i="41"/>
  <c r="D68" i="41"/>
  <c r="C49" i="41"/>
  <c r="D49" i="41" s="1"/>
  <c r="D56" i="41" s="1"/>
  <c r="D58" i="41" s="1"/>
  <c r="H267" i="46" l="1"/>
  <c r="I237" i="46" s="1"/>
  <c r="I238" i="46" s="1"/>
  <c r="I244" i="46" s="1"/>
  <c r="I243" i="46" s="1"/>
  <c r="E23" i="42"/>
  <c r="D23" i="42"/>
  <c r="C51" i="44"/>
  <c r="D46" i="42"/>
  <c r="F46" i="42"/>
  <c r="E46" i="42"/>
  <c r="C44" i="42"/>
  <c r="D62" i="41"/>
  <c r="D73" i="41"/>
  <c r="G16" i="41"/>
  <c r="G17" i="41" s="1"/>
  <c r="H17" i="41" s="1"/>
  <c r="E33" i="41" s="1"/>
  <c r="G20" i="41"/>
  <c r="G19" i="40"/>
  <c r="F14" i="40"/>
  <c r="F15" i="40"/>
  <c r="F16" i="40"/>
  <c r="F13" i="40"/>
  <c r="G12" i="40"/>
  <c r="E43" i="40"/>
  <c r="E47" i="40" s="1"/>
  <c r="E48" i="40" s="1"/>
  <c r="E50" i="40" s="1"/>
  <c r="E44" i="42" l="1"/>
  <c r="D44" i="42"/>
  <c r="F44" i="42"/>
  <c r="G16" i="40"/>
  <c r="G17" i="40" s="1"/>
  <c r="H17" i="40" s="1"/>
  <c r="E26" i="40" s="1"/>
  <c r="E53" i="40"/>
  <c r="E54" i="40" s="1"/>
  <c r="E57" i="40"/>
  <c r="E58" i="40" s="1"/>
  <c r="G16" i="39"/>
  <c r="F16" i="39"/>
  <c r="G15" i="39"/>
  <c r="F15" i="39"/>
  <c r="G14" i="39"/>
  <c r="F14" i="39"/>
  <c r="G13" i="39"/>
  <c r="G17" i="39" s="1"/>
  <c r="I25" i="39" s="1"/>
  <c r="P25" i="39" s="1"/>
  <c r="F13" i="39"/>
  <c r="C23" i="39"/>
  <c r="C26" i="39" s="1"/>
  <c r="D17" i="39"/>
  <c r="G24" i="39" s="1"/>
  <c r="N24" i="39" s="1"/>
  <c r="C17" i="39"/>
  <c r="I24" i="39" s="1"/>
  <c r="P24" i="39" s="1"/>
  <c r="F55" i="39"/>
  <c r="G55" i="39"/>
  <c r="F56" i="39"/>
  <c r="G56" i="39"/>
  <c r="F57" i="39"/>
  <c r="G57" i="39"/>
  <c r="G54" i="39"/>
  <c r="F54" i="39"/>
  <c r="D58" i="39"/>
  <c r="C65" i="39" s="1"/>
  <c r="C58" i="39"/>
  <c r="E65" i="39" s="1"/>
  <c r="L65" i="39" s="1"/>
  <c r="L42" i="39"/>
  <c r="K42" i="39"/>
  <c r="G40" i="39"/>
  <c r="G41" i="39"/>
  <c r="G42" i="39"/>
  <c r="G43" i="39"/>
  <c r="G44" i="39"/>
  <c r="G39" i="39"/>
  <c r="P49" i="38"/>
  <c r="P48" i="38"/>
  <c r="Q49" i="38" s="1"/>
  <c r="K47" i="38"/>
  <c r="D62" i="38"/>
  <c r="D61" i="38" s="1"/>
  <c r="D52" i="38"/>
  <c r="A57" i="38"/>
  <c r="D60" i="38" s="1"/>
  <c r="J45" i="38" s="1"/>
  <c r="F53" i="38"/>
  <c r="A56" i="38" s="1"/>
  <c r="D53" i="38" s="1"/>
  <c r="E39" i="38"/>
  <c r="B36" i="38"/>
  <c r="B37" i="38"/>
  <c r="B29" i="38"/>
  <c r="B30" i="38"/>
  <c r="D32" i="38"/>
  <c r="E32" i="38"/>
  <c r="E22" i="40" l="1"/>
  <c r="E29" i="40"/>
  <c r="E30" i="40" s="1"/>
  <c r="G20" i="40"/>
  <c r="N27" i="39"/>
  <c r="G58" i="39"/>
  <c r="E66" i="39" s="1"/>
  <c r="L66" i="39" s="1"/>
  <c r="J68" i="39" s="1"/>
  <c r="F17" i="39"/>
  <c r="G25" i="39" s="1"/>
  <c r="N25" i="39" s="1"/>
  <c r="P27" i="39" s="1"/>
  <c r="F58" i="39"/>
  <c r="C66" i="39" s="1"/>
  <c r="J66" i="39" s="1"/>
  <c r="J65" i="39"/>
  <c r="K25" i="39"/>
  <c r="G66" i="39"/>
  <c r="K45" i="39"/>
  <c r="D45" i="39" s="1"/>
  <c r="L45" i="39"/>
  <c r="E45" i="39" s="1"/>
  <c r="J43" i="38"/>
  <c r="P43" i="38"/>
  <c r="C54" i="38"/>
  <c r="P44" i="38" s="1"/>
  <c r="C59" i="38"/>
  <c r="E21" i="38"/>
  <c r="K20" i="38"/>
  <c r="E20" i="38"/>
  <c r="E16" i="38"/>
  <c r="E15" i="38"/>
  <c r="J14" i="38"/>
  <c r="H14" i="38"/>
  <c r="K13" i="38"/>
  <c r="H13" i="38"/>
  <c r="E13" i="38"/>
  <c r="E12" i="38"/>
  <c r="K49" i="37"/>
  <c r="J49" i="37"/>
  <c r="J48" i="37"/>
  <c r="D112" i="38"/>
  <c r="F113" i="38"/>
  <c r="B117" i="38" s="1"/>
  <c r="P28" i="39" l="1"/>
  <c r="P29" i="39" s="1"/>
  <c r="E32" i="40"/>
  <c r="E23" i="40"/>
  <c r="L68" i="39"/>
  <c r="L69" i="39" s="1"/>
  <c r="L70" i="39" s="1"/>
  <c r="J44" i="38"/>
  <c r="L14" i="38"/>
  <c r="L13" i="38"/>
  <c r="O19" i="38"/>
  <c r="P13" i="38" s="1"/>
  <c r="K29" i="38" s="1"/>
  <c r="Q29" i="38" s="1"/>
  <c r="Q21" i="38"/>
  <c r="P55" i="38" s="1"/>
  <c r="L16" i="38"/>
  <c r="N14" i="38"/>
  <c r="Q20" i="38"/>
  <c r="P34" i="38" s="1"/>
  <c r="L15" i="38"/>
  <c r="E35" i="38"/>
  <c r="N15" i="38"/>
  <c r="P58" i="38" s="1"/>
  <c r="E28" i="38"/>
  <c r="D29" i="38"/>
  <c r="L22" i="38"/>
  <c r="P56" i="38" s="1"/>
  <c r="D31" i="38"/>
  <c r="I16" i="38"/>
  <c r="P59" i="38" s="1"/>
  <c r="Q59" i="38" s="1"/>
  <c r="E31" i="38"/>
  <c r="I19" i="38"/>
  <c r="J20" i="38"/>
  <c r="D39" i="38" s="1"/>
  <c r="E17" i="38"/>
  <c r="D36" i="38"/>
  <c r="P103" i="38"/>
  <c r="P102" i="38"/>
  <c r="H74" i="38"/>
  <c r="H73" i="38"/>
  <c r="B97" i="38"/>
  <c r="B96" i="38"/>
  <c r="E99" i="38"/>
  <c r="D118" i="38" s="1"/>
  <c r="E114" i="38" s="1"/>
  <c r="D113" i="38" s="1"/>
  <c r="P97" i="38" s="1"/>
  <c r="K80" i="38"/>
  <c r="B89" i="38"/>
  <c r="B90" i="38"/>
  <c r="E92" i="38"/>
  <c r="D92" i="38"/>
  <c r="E81" i="38"/>
  <c r="E80" i="38"/>
  <c r="J74" i="38"/>
  <c r="K73" i="38"/>
  <c r="N21" i="38" s="1"/>
  <c r="E76" i="38"/>
  <c r="Q81" i="38" s="1"/>
  <c r="E75" i="38"/>
  <c r="E73" i="38"/>
  <c r="E72" i="38"/>
  <c r="I79" i="38" s="1"/>
  <c r="J31" i="38" l="1"/>
  <c r="P31" i="38"/>
  <c r="F24" i="38"/>
  <c r="P45" i="38" s="1"/>
  <c r="Q36" i="38"/>
  <c r="J41" i="38"/>
  <c r="P41" i="38"/>
  <c r="J40" i="38"/>
  <c r="P40" i="38"/>
  <c r="J39" i="38"/>
  <c r="P39" i="38"/>
  <c r="Q56" i="38"/>
  <c r="J34" i="38"/>
  <c r="Q14" i="38"/>
  <c r="Q15" i="38"/>
  <c r="N20" i="38"/>
  <c r="L82" i="38"/>
  <c r="Q103" i="38"/>
  <c r="D91" i="38"/>
  <c r="I20" i="38"/>
  <c r="I22" i="38"/>
  <c r="I21" i="38"/>
  <c r="L76" i="38"/>
  <c r="N81" i="38" s="1"/>
  <c r="I76" i="38"/>
  <c r="N75" i="38"/>
  <c r="L74" i="38"/>
  <c r="L75" i="38"/>
  <c r="L73" i="38"/>
  <c r="E95" i="38"/>
  <c r="E88" i="38"/>
  <c r="D89" i="38"/>
  <c r="P93" i="38" s="1"/>
  <c r="D96" i="38"/>
  <c r="P95" i="38" s="1"/>
  <c r="E91" i="38"/>
  <c r="P94" i="38" s="1"/>
  <c r="E77" i="38"/>
  <c r="J80" i="38"/>
  <c r="O79" i="38"/>
  <c r="P73" i="38" s="1"/>
  <c r="F84" i="38" s="1"/>
  <c r="P99" i="38" s="1"/>
  <c r="J33" i="37"/>
  <c r="J35" i="37"/>
  <c r="J34" i="37"/>
  <c r="K30" i="37"/>
  <c r="E30" i="37"/>
  <c r="E23" i="37"/>
  <c r="K23" i="37" s="1"/>
  <c r="K13" i="37"/>
  <c r="J25" i="37" s="1"/>
  <c r="I17" i="37"/>
  <c r="I12" i="37" s="1"/>
  <c r="H18" i="37"/>
  <c r="G13" i="37"/>
  <c r="H12" i="37"/>
  <c r="L17" i="37" s="1"/>
  <c r="M17" i="37" s="1"/>
  <c r="J32" i="38" l="1"/>
  <c r="J33" i="38" s="1"/>
  <c r="K34" i="38" s="1"/>
  <c r="K35" i="38" s="1"/>
  <c r="P32" i="38"/>
  <c r="P33" i="38" s="1"/>
  <c r="Q34" i="38" s="1"/>
  <c r="Q35" i="38" s="1"/>
  <c r="Q37" i="38" s="1"/>
  <c r="E38" i="38"/>
  <c r="D38" i="38"/>
  <c r="Q105" i="38"/>
  <c r="K35" i="37"/>
  <c r="N80" i="38"/>
  <c r="Q87" i="38"/>
  <c r="Q90" i="38"/>
  <c r="Q75" i="38"/>
  <c r="Q74" i="38"/>
  <c r="Q88" i="38" s="1"/>
  <c r="D99" i="38"/>
  <c r="I82" i="38"/>
  <c r="I81" i="38"/>
  <c r="F82" i="38" s="1"/>
  <c r="I80" i="38"/>
  <c r="D25" i="37"/>
  <c r="G18" i="37"/>
  <c r="I18" i="37" s="1"/>
  <c r="I13" i="37" s="1"/>
  <c r="K18" i="37" s="1"/>
  <c r="J26" i="37" s="1"/>
  <c r="J27" i="37" s="1"/>
  <c r="J121" i="37"/>
  <c r="J120" i="37"/>
  <c r="J109" i="37"/>
  <c r="J108" i="37"/>
  <c r="J107" i="37"/>
  <c r="J106" i="37"/>
  <c r="K103" i="37"/>
  <c r="K91" i="37"/>
  <c r="E109" i="37"/>
  <c r="D105" i="37"/>
  <c r="D101" i="37"/>
  <c r="E91" i="37"/>
  <c r="H79" i="37"/>
  <c r="H76" i="37"/>
  <c r="I78" i="37"/>
  <c r="I79" i="37" s="1"/>
  <c r="H71" i="37"/>
  <c r="H68" i="37"/>
  <c r="I70" i="37"/>
  <c r="I71" i="37" s="1"/>
  <c r="H63" i="37"/>
  <c r="H60" i="37"/>
  <c r="I62" i="37"/>
  <c r="C74" i="37"/>
  <c r="C73" i="37"/>
  <c r="C69" i="37"/>
  <c r="C68" i="37"/>
  <c r="P61" i="37"/>
  <c r="J122" i="37" s="1"/>
  <c r="P60" i="37"/>
  <c r="J93" i="37" s="1"/>
  <c r="L75" i="37"/>
  <c r="M83" i="37"/>
  <c r="M68" i="37"/>
  <c r="L61" i="37"/>
  <c r="M60" i="37"/>
  <c r="L82" i="37" s="1"/>
  <c r="M74" i="37" s="1"/>
  <c r="Q67" i="37" s="1"/>
  <c r="C27" i="14"/>
  <c r="H30" i="14"/>
  <c r="G30" i="14"/>
  <c r="G27" i="14"/>
  <c r="D30" i="14"/>
  <c r="J20" i="14"/>
  <c r="M20" i="14" s="1"/>
  <c r="J19" i="14"/>
  <c r="M19" i="14" s="1"/>
  <c r="F20" i="14"/>
  <c r="I15" i="14" s="1"/>
  <c r="F19" i="14"/>
  <c r="I14" i="14" s="1"/>
  <c r="C30" i="14"/>
  <c r="K14" i="14"/>
  <c r="L14" i="14" s="1"/>
  <c r="H27" i="14" s="1"/>
  <c r="J42" i="38" l="1"/>
  <c r="K45" i="38" s="1"/>
  <c r="P42" i="38"/>
  <c r="Q45" i="38" s="1"/>
  <c r="Q46" i="38" s="1"/>
  <c r="K46" i="38"/>
  <c r="K48" i="38" s="1"/>
  <c r="D98" i="38"/>
  <c r="C118" i="38"/>
  <c r="D115" i="38" s="1"/>
  <c r="C114" i="38" s="1"/>
  <c r="P98" i="38" s="1"/>
  <c r="Q89" i="38"/>
  <c r="Q91" i="38" s="1"/>
  <c r="E98" i="38"/>
  <c r="P96" i="38" s="1"/>
  <c r="Q99" i="38" s="1"/>
  <c r="N18" i="37"/>
  <c r="J28" i="37" s="1"/>
  <c r="K28" i="37" s="1"/>
  <c r="K29" i="37" s="1"/>
  <c r="K31" i="37" s="1"/>
  <c r="K36" i="37" s="1"/>
  <c r="K42" i="37" s="1"/>
  <c r="I19" i="37"/>
  <c r="K109" i="37"/>
  <c r="K122" i="37"/>
  <c r="D93" i="37"/>
  <c r="L83" i="37"/>
  <c r="I60" i="37"/>
  <c r="K66" i="37" s="1"/>
  <c r="N66" i="37" s="1"/>
  <c r="N60" i="37" s="1"/>
  <c r="I68" i="37"/>
  <c r="K67" i="37" s="1"/>
  <c r="I76" i="37"/>
  <c r="L68" i="37"/>
  <c r="M15" i="14"/>
  <c r="C28" i="14"/>
  <c r="C29" i="14" s="1"/>
  <c r="C31" i="14" s="1"/>
  <c r="G28" i="14"/>
  <c r="G29" i="14" s="1"/>
  <c r="G31" i="14" s="1"/>
  <c r="M14" i="14"/>
  <c r="D27" i="14"/>
  <c r="K78" i="14"/>
  <c r="K77" i="14"/>
  <c r="K47" i="14"/>
  <c r="E43" i="14"/>
  <c r="E42" i="14"/>
  <c r="L59" i="14" s="1"/>
  <c r="G58" i="14"/>
  <c r="H53" i="14" s="1"/>
  <c r="E65" i="14" s="1"/>
  <c r="H43" i="14"/>
  <c r="H48" i="14"/>
  <c r="G43" i="14"/>
  <c r="G47" i="14"/>
  <c r="N13" i="37" l="1"/>
  <c r="Q50" i="38"/>
  <c r="Q52" i="38" s="1"/>
  <c r="Q60" i="38" s="1"/>
  <c r="I14" i="37"/>
  <c r="K19" i="37" s="1"/>
  <c r="D26" i="37" s="1"/>
  <c r="D27" i="37" s="1"/>
  <c r="J46" i="37"/>
  <c r="Q100" i="38"/>
  <c r="Q104" i="38" s="1"/>
  <c r="Q106" i="38" s="1"/>
  <c r="N67" i="37"/>
  <c r="N61" i="37" s="1"/>
  <c r="K69" i="37"/>
  <c r="F69" i="37" s="1"/>
  <c r="K68" i="37"/>
  <c r="F68" i="37" s="1"/>
  <c r="K84" i="37"/>
  <c r="F74" i="37" s="1"/>
  <c r="K83" i="37"/>
  <c r="F73" i="37" s="1"/>
  <c r="H28" i="14"/>
  <c r="H29" i="14" s="1"/>
  <c r="H31" i="14" s="1"/>
  <c r="D28" i="14"/>
  <c r="L44" i="14"/>
  <c r="K60" i="14" s="1"/>
  <c r="D29" i="14"/>
  <c r="D31" i="14" s="1"/>
  <c r="E74" i="14"/>
  <c r="K43" i="14"/>
  <c r="L48" i="14"/>
  <c r="L43" i="14"/>
  <c r="K59" i="14" s="1"/>
  <c r="K54" i="14"/>
  <c r="K67" i="14" s="1"/>
  <c r="L78" i="14"/>
  <c r="K44" i="14"/>
  <c r="K85" i="14" s="1"/>
  <c r="L54" i="14"/>
  <c r="L65" i="14"/>
  <c r="L74" i="14"/>
  <c r="K55" i="14"/>
  <c r="L60" i="14"/>
  <c r="K81" i="14" s="1"/>
  <c r="L82" i="14" s="1"/>
  <c r="L55" i="14"/>
  <c r="L47" i="14"/>
  <c r="L42" i="14" s="1"/>
  <c r="K58" i="14" s="1"/>
  <c r="L49" i="14"/>
  <c r="K82" i="14" s="1"/>
  <c r="G48" i="14"/>
  <c r="K49" i="14" s="1"/>
  <c r="E52" i="14" s="1"/>
  <c r="N19" i="37" l="1"/>
  <c r="D28" i="37"/>
  <c r="J45" i="37"/>
  <c r="K46" i="37" s="1"/>
  <c r="K50" i="37" s="1"/>
  <c r="E28" i="37"/>
  <c r="E29" i="37" s="1"/>
  <c r="E31" i="37" s="1"/>
  <c r="N14" i="37"/>
  <c r="D100" i="37"/>
  <c r="D102" i="37" s="1"/>
  <c r="J99" i="37"/>
  <c r="D104" i="37"/>
  <c r="D106" i="37" s="1"/>
  <c r="J100" i="37"/>
  <c r="N84" i="37"/>
  <c r="N77" i="37" s="1"/>
  <c r="N83" i="37"/>
  <c r="N76" i="37" s="1"/>
  <c r="N69" i="37"/>
  <c r="J115" i="37" s="1"/>
  <c r="N68" i="37"/>
  <c r="N62" i="37" s="1"/>
  <c r="K81" i="37" s="1"/>
  <c r="D67" i="14"/>
  <c r="K84" i="14"/>
  <c r="L85" i="14" s="1"/>
  <c r="L58" i="14"/>
  <c r="L53" i="14" s="1"/>
  <c r="K68" i="14"/>
  <c r="K69" i="14" s="1"/>
  <c r="K48" i="14"/>
  <c r="E51" i="14" s="1"/>
  <c r="D68" i="14"/>
  <c r="D69" i="14" s="1"/>
  <c r="J101" i="37" l="1"/>
  <c r="N63" i="37"/>
  <c r="K82" i="37" s="1"/>
  <c r="N82" i="37" s="1"/>
  <c r="D107" i="37"/>
  <c r="N81" i="37"/>
  <c r="N74" i="37" s="1"/>
  <c r="P67" i="37" s="1"/>
  <c r="J94" i="37" s="1"/>
  <c r="J95" i="37" s="1"/>
  <c r="D70" i="14"/>
  <c r="D71" i="14" s="1"/>
  <c r="K70" i="14"/>
  <c r="K71" i="14" s="1"/>
  <c r="K72" i="14"/>
  <c r="D72" i="14"/>
  <c r="N75" i="37" l="1"/>
  <c r="P68" i="37" s="1"/>
  <c r="D94" i="37" s="1"/>
  <c r="D95" i="37" s="1"/>
  <c r="J116" i="37"/>
  <c r="S67" i="37"/>
  <c r="J96" i="37" s="1"/>
  <c r="J97" i="37" s="1"/>
  <c r="K101" i="37" s="1"/>
  <c r="K102" i="37" s="1"/>
  <c r="K104" i="37" s="1"/>
  <c r="K110" i="37" s="1"/>
  <c r="K112" i="37" s="1"/>
  <c r="L72" i="14"/>
  <c r="L73" i="14" s="1"/>
  <c r="L75" i="14" s="1"/>
  <c r="L79" i="14" s="1"/>
  <c r="L86" i="14" s="1"/>
  <c r="E72" i="14"/>
  <c r="E73" i="14" s="1"/>
  <c r="E75" i="14" s="1"/>
  <c r="S68" i="37" l="1"/>
  <c r="S60" i="37"/>
  <c r="D96" i="37"/>
  <c r="D97" i="37" s="1"/>
  <c r="E107" i="37" s="1"/>
  <c r="E108" i="37" s="1"/>
  <c r="E110" i="37" s="1"/>
  <c r="J117" i="37" l="1"/>
  <c r="K117" i="37" s="1"/>
  <c r="K123" i="37" s="1"/>
  <c r="S61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M1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ここは売上原価(PL)
</t>
        </r>
      </text>
    </comment>
    <comment ref="M19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ここは期末製品棚卸高(BS)</t>
        </r>
      </text>
    </comment>
    <comment ref="D31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同じ販売量・売上高なのに、営業利益が4,000円増える？
→利益計画に不向き</t>
        </r>
      </text>
    </comment>
    <comment ref="H31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利益計画に使うため、全部原価計算の欠点を解消したのが直接原価計算</t>
        </r>
      </text>
    </comment>
    <comment ref="E40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標準原価計算の知識で、原価データを整理する。</t>
        </r>
      </text>
    </comment>
    <comment ref="H41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総合原価計算の知識で、加工度を加味した仕掛品BOXを作る。</t>
        </r>
      </text>
    </comment>
    <comment ref="L41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数量・金額はふつう1つのBOXに併記するが、エクセルの都合上、2つのBOXに分けた。</t>
        </r>
      </text>
    </comment>
    <comment ref="E75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まず第1問で、全部原価計算の営業利益まで正しく計算</t>
        </r>
      </text>
    </comment>
    <comment ref="L79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第2問では、直接原価計算の営業利益を求める。</t>
        </r>
      </text>
    </comment>
    <comment ref="L86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固定費調整をすると、全部原価計算の営業利益と一致する。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G65" authorId="0" shapeId="0" xr:uid="{9498F58A-50E5-4A58-A151-45754B23FCE6}">
      <text>
        <r>
          <rPr>
            <sz val="9"/>
            <color indexed="81"/>
            <rFont val="MS P ゴシック"/>
            <family val="3"/>
            <charset val="128"/>
          </rPr>
          <t>ここは製造間接費から固定分を除くひっかけあり。
簿記知識を使うので、ここは変動180円に読み替えてＯＫ。</t>
        </r>
      </text>
    </comment>
    <comment ref="G71" authorId="0" shapeId="0" xr:uid="{503E9A57-EC88-4DEF-8AA0-5D17BD842534}">
      <text>
        <r>
          <rPr>
            <sz val="9"/>
            <color indexed="81"/>
            <rFont val="MS P ゴシック"/>
            <family val="3"/>
            <charset val="128"/>
          </rPr>
          <t>管理不能個別固定費を求め、段階利益の一つ下に持っていく</t>
        </r>
      </text>
    </comment>
    <comment ref="D89" authorId="0" shapeId="0" xr:uid="{8ED293E9-CCDE-4CA4-AB65-20C046DE1667}">
      <text>
        <r>
          <rPr>
            <sz val="9"/>
            <color indexed="81"/>
            <rFont val="MS P ゴシック"/>
            <family val="3"/>
            <charset val="128"/>
          </rPr>
          <t>全部原価計算の営業利益3,000,000から逆算</t>
        </r>
      </text>
    </comment>
    <comment ref="M161" authorId="0" shapeId="0" xr:uid="{0AB738D9-001A-467A-BBED-A83988AD1C02}">
      <text>
        <r>
          <rPr>
            <sz val="9"/>
            <color indexed="81"/>
            <rFont val="MS P ゴシック"/>
            <family val="3"/>
            <charset val="128"/>
          </rPr>
          <t>エクセルは方程式は苦手だが、残余利益の計算なら一発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C11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手順①
資料を整理してメモ</t>
        </r>
      </text>
    </comment>
    <comment ref="H11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手順②
仕掛品BOXの計算
※簿記未習の方はスキップしてOK</t>
        </r>
      </text>
    </comment>
    <comment ref="M11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>手順③
製品BOXの計算
この場合は変動費V⇔固定費Fに分けて計算することがポイント</t>
        </r>
      </text>
    </comment>
    <comment ref="E23" authorId="0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>手順④
解答用紙のPLの空欄に、手順②～③で計算した数値を当てはめる</t>
        </r>
      </text>
    </comment>
    <comment ref="K23" authorId="0" shapeId="0" xr:uid="{00000000-0006-0000-0200-000005000000}">
      <text>
        <r>
          <rPr>
            <sz val="9"/>
            <color indexed="81"/>
            <rFont val="MS P ゴシック"/>
            <family val="3"/>
            <charset val="128"/>
          </rPr>
          <t>手順⑤
④と同様に直接原価計算PLに当てはめ、営業利益額が異なることを確認</t>
        </r>
      </text>
    </comment>
    <comment ref="K36" authorId="0" shapeId="0" xr:uid="{00000000-0006-0000-0200-000006000000}">
      <text>
        <r>
          <rPr>
            <sz val="9"/>
            <color indexed="81"/>
            <rFont val="MS P ゴシック"/>
            <family val="3"/>
            <charset val="128"/>
          </rPr>
          <t>診断士｢Ⅳ｣で直接原価計算PLを一から作らせる出題はありません。しかし、直接原価計算PLの作り方･特長を知っておくと、CVP分析の得点力が上がります。</t>
        </r>
      </text>
    </comment>
    <comment ref="I59" authorId="0" shapeId="0" xr:uid="{00000000-0006-0000-0200-000007000000}">
      <text>
        <r>
          <rPr>
            <sz val="9"/>
            <color indexed="81"/>
            <rFont val="MS P ゴシック"/>
            <family val="3"/>
            <charset val="128"/>
          </rPr>
          <t>原料A～Cの当月費用額を、平均法or先入先出法で計算</t>
        </r>
      </text>
    </comment>
    <comment ref="N60" authorId="0" shapeId="0" xr:uid="{00000000-0006-0000-0200-000008000000}">
      <text>
        <r>
          <rPr>
            <sz val="9"/>
            <color indexed="81"/>
            <rFont val="MS P ゴシック"/>
            <family val="3"/>
            <charset val="128"/>
          </rPr>
          <t>第1工程費を、完成品換算、加工度換算に分けて求める</t>
        </r>
      </text>
    </comment>
    <comment ref="F65" authorId="0" shapeId="0" xr:uid="{00000000-0006-0000-0200-000009000000}">
      <text>
        <r>
          <rPr>
            <sz val="9"/>
            <color indexed="81"/>
            <rFont val="MS P ゴシック"/>
            <family val="3"/>
            <charset val="128"/>
          </rPr>
          <t>加工費原価差異の算出(シュラッター図)は難易度高いので省略</t>
        </r>
      </text>
    </comment>
    <comment ref="J74" authorId="0" shapeId="0" xr:uid="{00000000-0006-0000-0200-00000A000000}">
      <text>
        <r>
          <rPr>
            <sz val="9"/>
            <color indexed="81"/>
            <rFont val="MS P ゴシック"/>
            <family val="3"/>
            <charset val="128"/>
          </rPr>
          <t>仕掛計算をする項目は、工程ごとに異なる</t>
        </r>
      </text>
    </comment>
    <comment ref="N74" authorId="0" shapeId="0" xr:uid="{00000000-0006-0000-0200-00000B000000}">
      <text>
        <r>
          <rPr>
            <sz val="9"/>
            <color indexed="81"/>
            <rFont val="MS P ゴシック"/>
            <family val="3"/>
            <charset val="128"/>
          </rPr>
          <t>工程別原価計算の知識＋減損費の完成品負担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F11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手順①
データを整理</t>
        </r>
      </text>
    </comment>
    <comment ref="K12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手順②
仕掛品BOXの計算
※簿記未習の方はスキップしてOK</t>
        </r>
      </text>
    </comment>
    <comment ref="P12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手順③
製品BOXの計算
この場合は変動費V⇔固定費Fに分けて計算することがポイント</t>
        </r>
      </text>
    </comment>
    <comment ref="K29" authorId="0" shapeId="0" xr:uid="{00000000-0006-0000-0300-000004000000}">
      <text>
        <r>
          <rPr>
            <sz val="9"/>
            <color indexed="81"/>
            <rFont val="MS P ゴシック"/>
            <family val="3"/>
            <charset val="128"/>
          </rPr>
          <t>手順⑤
解答用紙のPLの空欄に、手順②～④で計算した数値を当てはめる</t>
        </r>
      </text>
    </comment>
    <comment ref="Q29" authorId="0" shapeId="0" xr:uid="{00000000-0006-0000-0300-000005000000}">
      <text>
        <r>
          <rPr>
            <sz val="9"/>
            <color indexed="81"/>
            <rFont val="MS P ゴシック"/>
            <family val="3"/>
            <charset val="128"/>
          </rPr>
          <t>手順⑥
⑤と同様に直接原価計算PLに当てはめ、営業利益額が異なることを確認</t>
        </r>
      </text>
    </comment>
    <comment ref="E31" authorId="0" shapeId="0" xr:uid="{00000000-0006-0000-0300-000006000000}">
      <text>
        <r>
          <rPr>
            <sz val="9"/>
            <color indexed="81"/>
            <rFont val="MS P ゴシック"/>
            <family val="3"/>
            <charset val="128"/>
          </rPr>
          <t>手順④
標準と実額の差異を計算。
※ここは1次｢財務｣で学習済</t>
        </r>
      </text>
    </comment>
    <comment ref="Q50" authorId="0" shapeId="0" xr:uid="{00000000-0006-0000-0300-000007000000}">
      <text>
        <r>
          <rPr>
            <sz val="9"/>
            <color indexed="81"/>
            <rFont val="MS P ゴシック"/>
            <family val="3"/>
            <charset val="128"/>
          </rPr>
          <t>診断士｢Ⅳ｣で直接原価計算PLを作らせる出題はありません。しかし、直接原価計算PLの作り方･特長を知っておくと、CVP分析の得点力が上がります。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G12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当例題では、予想PLを書いて整理した。</t>
        </r>
      </text>
    </comment>
    <comment ref="E43" authorId="0" shapeId="0" xr:uid="{00000000-0006-0000-0500-000002000000}">
      <text>
        <r>
          <rPr>
            <sz val="9"/>
            <color indexed="81"/>
            <rFont val="MS P ゴシック"/>
            <family val="3"/>
            <charset val="128"/>
          </rPr>
          <t>｢事例Ⅳ｣の文章題では、PLを書かず、自分なりのメモで解けることも多い。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E23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>目標営業利益、経常利益、営業外損益が与えられた時は、固定費の修正項目として加減算する。</t>
        </r>
      </text>
    </comment>
    <comment ref="E33" authorId="0" shapeId="0" xr:uid="{00000000-0006-0000-0600-000002000000}">
      <text>
        <r>
          <rPr>
            <sz val="9"/>
            <color indexed="81"/>
            <rFont val="MS P ゴシック"/>
            <family val="3"/>
            <charset val="128"/>
          </rPr>
          <t>CVPの基本パターンではSBEP＝固定費÷限界利益率で一発計算できる。</t>
        </r>
      </text>
    </comment>
    <comment ref="I64" authorId="0" shapeId="0" xr:uid="{00000000-0006-0000-0600-000003000000}">
      <text>
        <r>
          <rPr>
            <sz val="9"/>
            <color indexed="81"/>
            <rFont val="MS P ゴシック"/>
            <family val="3"/>
            <charset val="128"/>
          </rPr>
          <t>通常パターンでは点差がつかないと出題側が考えると、売上単価(限界利益率)を変動させるなど、方程式を使わないと解けない作問をすることがある。</t>
        </r>
      </text>
    </comment>
    <comment ref="D73" authorId="0" shapeId="0" xr:uid="{00000000-0006-0000-0600-000004000000}">
      <text>
        <r>
          <rPr>
            <sz val="9"/>
            <color indexed="81"/>
            <rFont val="MS P ゴシック"/>
            <family val="3"/>
            <charset val="128"/>
          </rPr>
          <t>エクセル関数を使うと、通常パターンは一発計算できる。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I14" authorId="0" shapeId="0" xr:uid="{00000000-0006-0000-0800-000001000000}">
      <text>
        <r>
          <rPr>
            <sz val="9"/>
            <color indexed="81"/>
            <rFont val="MS P ゴシック"/>
            <family val="3"/>
            <charset val="128"/>
          </rPr>
          <t>エクセルなので端数を気にせず解くが、電卓手計算の場合は計算式の工夫が必要</t>
        </r>
      </text>
    </comment>
    <comment ref="I36" authorId="0" shapeId="0" xr:uid="{00000000-0006-0000-0800-000002000000}">
      <text>
        <r>
          <rPr>
            <sz val="9"/>
            <color indexed="81"/>
            <rFont val="MS P ゴシック"/>
            <family val="3"/>
            <charset val="128"/>
          </rPr>
          <t>エクセルなので端数を気にせず解くが、電卓手計算の場合は計算式の工夫が必要</t>
        </r>
      </text>
    </comment>
    <comment ref="F48" authorId="0" shapeId="0" xr:uid="{00000000-0006-0000-0800-000003000000}">
      <text>
        <r>
          <rPr>
            <sz val="9"/>
            <color indexed="81"/>
            <rFont val="MS P ゴシック"/>
            <family val="3"/>
            <charset val="128"/>
          </rPr>
          <t>エクセルなので、製品の販売量＝1と置き、数量比を求めた。電卓手計算の場合は工夫が必要。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D11" authorId="0" shapeId="0" xr:uid="{00000000-0006-0000-0A00-000001000000}">
      <text>
        <r>
          <rPr>
            <sz val="9"/>
            <color indexed="81"/>
            <rFont val="MS P ゴシック"/>
            <family val="3"/>
            <charset val="128"/>
          </rPr>
          <t>単位あたり限界利益を求めるまでは同じ</t>
        </r>
      </text>
    </comment>
    <comment ref="E23" authorId="0" shapeId="0" xr:uid="{00000000-0006-0000-0A00-000002000000}">
      <text>
        <r>
          <rPr>
            <sz val="9"/>
            <color indexed="81"/>
            <rFont val="MS P ゴシック"/>
            <family val="3"/>
            <charset val="128"/>
          </rPr>
          <t>端点の求め方、なぜ端点で利益最大になるかはテキスト参照</t>
        </r>
      </text>
    </comment>
    <comment ref="E35" authorId="0" shapeId="0" xr:uid="{00000000-0006-0000-0A00-000003000000}">
      <text>
        <r>
          <rPr>
            <sz val="9"/>
            <color indexed="81"/>
            <rFont val="MS P ゴシック"/>
            <family val="3"/>
            <charset val="128"/>
          </rPr>
          <t>端点を決めたら、限界利益単価を代入し、限界利益額を求めて比較</t>
        </r>
      </text>
    </comment>
    <comment ref="E42" authorId="0" shapeId="0" xr:uid="{00000000-0006-0000-0A00-000004000000}">
      <text>
        <r>
          <rPr>
            <sz val="9"/>
            <color indexed="81"/>
            <rFont val="MS P ゴシック"/>
            <family val="3"/>
            <charset val="128"/>
          </rPr>
          <t>直接原価計算の知識から、限界利益－固定費＝営業利益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D26" authorId="0" shapeId="0" xr:uid="{C2E33325-F84F-490D-87C6-042132A13591}">
      <text>
        <r>
          <rPr>
            <sz val="9"/>
            <color indexed="81"/>
            <rFont val="MS P ゴシック"/>
            <family val="3"/>
            <charset val="128"/>
          </rPr>
          <t>予想PLの作成。営業利益までは簡単。</t>
        </r>
      </text>
    </comment>
    <comment ref="D50" authorId="0" shapeId="0" xr:uid="{2AC3E6EA-D2E0-4219-9ED2-FE8E99482FB4}">
      <text>
        <r>
          <rPr>
            <sz val="9"/>
            <color indexed="81"/>
            <rFont val="MS P ゴシック"/>
            <family val="3"/>
            <charset val="128"/>
          </rPr>
          <t>減価償却費は冒頭の資料から</t>
        </r>
      </text>
    </comment>
    <comment ref="G52" authorId="0" shapeId="0" xr:uid="{23796AB3-EBC6-4B6A-88FD-5BABE80C4809}">
      <text>
        <r>
          <rPr>
            <sz val="9"/>
            <color indexed="81"/>
            <rFont val="MS P ゴシック"/>
            <family val="3"/>
            <charset val="128"/>
          </rPr>
          <t>純資産の変動計算は煩雑なので、不得意な方はパスしてOK</t>
        </r>
      </text>
    </comment>
    <comment ref="I61" authorId="0" shapeId="0" xr:uid="{B7D07E19-D147-4333-8E21-1838D0A4AE45}">
      <text>
        <r>
          <rPr>
            <sz val="9"/>
            <color indexed="81"/>
            <rFont val="MS P ゴシック"/>
            <family val="3"/>
            <charset val="128"/>
          </rPr>
          <t>BSから</t>
        </r>
      </text>
    </comment>
    <comment ref="J61" authorId="0" shapeId="0" xr:uid="{FDA5C45B-C09E-491A-BD21-D150C7BAC831}">
      <text>
        <r>
          <rPr>
            <sz val="9"/>
            <color indexed="81"/>
            <rFont val="MS P ゴシック"/>
            <family val="3"/>
            <charset val="128"/>
          </rPr>
          <t>資料から</t>
        </r>
      </text>
    </comment>
    <comment ref="L61" authorId="0" shapeId="0" xr:uid="{223874BB-9BA0-40E6-8CA7-47DC27FEEC58}">
      <text>
        <r>
          <rPr>
            <sz val="9"/>
            <color indexed="81"/>
            <rFont val="MS P ゴシック"/>
            <family val="3"/>
            <charset val="128"/>
          </rPr>
          <t>資料から</t>
        </r>
      </text>
    </comment>
    <comment ref="M61" authorId="0" shapeId="0" xr:uid="{7F1FE328-1EA5-4738-99CD-55BCB8B4EF2C}">
      <text>
        <r>
          <rPr>
            <sz val="9"/>
            <color indexed="81"/>
            <rFont val="MS P ゴシック"/>
            <family val="3"/>
            <charset val="128"/>
          </rPr>
          <t>BSから</t>
        </r>
      </text>
    </comment>
    <comment ref="I65" authorId="0" shapeId="0" xr:uid="{67B5CED6-0069-4E1F-8B19-38EE2D0DCE1D}">
      <text>
        <r>
          <rPr>
            <sz val="9"/>
            <color indexed="81"/>
            <rFont val="MS P ゴシック"/>
            <family val="3"/>
            <charset val="128"/>
          </rPr>
          <t xml:space="preserve">年間売上高
</t>
        </r>
      </text>
    </comment>
    <comment ref="J65" authorId="0" shapeId="0" xr:uid="{8672E02D-CF12-4276-A528-5919952C7E8D}">
      <text>
        <r>
          <rPr>
            <sz val="9"/>
            <color indexed="81"/>
            <rFont val="MS P ゴシック"/>
            <family val="3"/>
            <charset val="128"/>
          </rPr>
          <t>差額で計算</t>
        </r>
      </text>
    </comment>
    <comment ref="M65" authorId="0" shapeId="0" xr:uid="{6531D6F3-1E73-4E04-B10E-BBCFE1678414}">
      <text>
        <r>
          <rPr>
            <sz val="9"/>
            <color indexed="81"/>
            <rFont val="MS P ゴシック"/>
            <family val="3"/>
            <charset val="128"/>
          </rPr>
          <t>年間原料仕入高</t>
        </r>
      </text>
    </comment>
    <comment ref="B76" authorId="0" shapeId="0" xr:uid="{ED4FA232-AD16-4746-992C-2A8C0BE7B9DF}">
      <text>
        <r>
          <rPr>
            <sz val="9"/>
            <color indexed="81"/>
            <rFont val="MS P ゴシック"/>
            <family val="3"/>
            <charset val="128"/>
          </rPr>
          <t>BSから</t>
        </r>
      </text>
    </comment>
    <comment ref="C76" authorId="0" shapeId="0" xr:uid="{5EF77AF0-15B3-4857-A5E4-FA7BEECEC496}">
      <text>
        <r>
          <rPr>
            <sz val="9"/>
            <color indexed="81"/>
            <rFont val="MS P ゴシック"/>
            <family val="3"/>
            <charset val="128"/>
          </rPr>
          <t>1Q資料から</t>
        </r>
      </text>
    </comment>
    <comment ref="E76" authorId="0" shapeId="0" xr:uid="{85FB3D66-F6A5-4222-84FD-9587511A1C0F}">
      <text>
        <r>
          <rPr>
            <sz val="9"/>
            <color indexed="81"/>
            <rFont val="MS P ゴシック"/>
            <family val="3"/>
            <charset val="128"/>
          </rPr>
          <t>1Q末の金額。以下同じ計算を繰り返す</t>
        </r>
      </text>
    </comment>
    <comment ref="B83" authorId="0" shapeId="0" xr:uid="{1412FC18-7C02-4657-86FF-D1F9B738ADD8}">
      <text>
        <r>
          <rPr>
            <sz val="9"/>
            <color indexed="81"/>
            <rFont val="MS P ゴシック"/>
            <family val="3"/>
            <charset val="128"/>
          </rPr>
          <t>仮残高を見て、借入金額を決める(資金繰り)
後で借入利息を計算</t>
        </r>
      </text>
    </comment>
    <comment ref="L83" authorId="0" shapeId="0" xr:uid="{57F3807F-9C30-49C0-9B0F-C8167A79A1D4}">
      <text>
        <r>
          <rPr>
            <sz val="9"/>
            <color indexed="81"/>
            <rFont val="MS P ゴシック"/>
            <family val="3"/>
            <charset val="128"/>
          </rPr>
          <t>期末返済 250
期首借入 500
支払利息 10</t>
        </r>
      </text>
    </comment>
    <comment ref="L85" authorId="0" shapeId="0" xr:uid="{D5558E81-CAD9-4668-97D8-7DD520350895}">
      <text>
        <r>
          <rPr>
            <sz val="9"/>
            <color indexed="81"/>
            <rFont val="MS P ゴシック"/>
            <family val="3"/>
            <charset val="128"/>
          </rPr>
          <t>BSの期末現金へ</t>
        </r>
      </text>
    </comment>
    <comment ref="D114" authorId="0" shapeId="0" xr:uid="{1A662050-617E-4017-8D13-4052F82B05BE}">
      <text>
        <r>
          <rPr>
            <sz val="9"/>
            <color indexed="81"/>
            <rFont val="MS P ゴシック"/>
            <family val="3"/>
            <charset val="128"/>
          </rPr>
          <t>予想PLの作成。営業利益までは簡単。</t>
        </r>
      </text>
    </comment>
    <comment ref="D119" authorId="0" shapeId="0" xr:uid="{D11C9FC6-7D38-47DE-AFE7-725AF5C8C668}">
      <text>
        <r>
          <rPr>
            <sz val="9"/>
            <color indexed="81"/>
            <rFont val="MS P ゴシック"/>
            <family val="3"/>
            <charset val="128"/>
          </rPr>
          <t>支払利息の計算
社債利息480
借入利息 70
※↓の資金繰り表から</t>
        </r>
      </text>
    </comment>
    <comment ref="D135" authorId="0" shapeId="0" xr:uid="{D399EB23-AA90-4C41-A321-D9FC71769B21}">
      <text>
        <r>
          <rPr>
            <sz val="9"/>
            <color indexed="81"/>
            <rFont val="MS P ゴシック"/>
            <family val="3"/>
            <charset val="128"/>
          </rPr>
          <t>減価償却費は冒頭の資料から</t>
        </r>
      </text>
    </comment>
    <comment ref="G137" authorId="0" shapeId="0" xr:uid="{52744EC7-4CBF-408D-92A6-EE1128C3C272}">
      <text>
        <r>
          <rPr>
            <sz val="9"/>
            <color indexed="81"/>
            <rFont val="MS P ゴシック"/>
            <family val="3"/>
            <charset val="128"/>
          </rPr>
          <t>純資産の変動計算は煩雑なので、不得意な方はパスしてOK</t>
        </r>
      </text>
    </comment>
    <comment ref="I147" authorId="0" shapeId="0" xr:uid="{5984C69D-BAC9-4ABA-AA64-427DB97A64D1}">
      <text>
        <r>
          <rPr>
            <sz val="9"/>
            <color indexed="81"/>
            <rFont val="MS P ゴシック"/>
            <family val="3"/>
            <charset val="128"/>
          </rPr>
          <t>BSから</t>
        </r>
      </text>
    </comment>
    <comment ref="J147" authorId="0" shapeId="0" xr:uid="{EAA1B115-9E9A-49FE-B635-BAF504C18BB4}">
      <text>
        <r>
          <rPr>
            <sz val="9"/>
            <color indexed="81"/>
            <rFont val="MS P ゴシック"/>
            <family val="3"/>
            <charset val="128"/>
          </rPr>
          <t>資料から</t>
        </r>
      </text>
    </comment>
    <comment ref="L147" authorId="0" shapeId="0" xr:uid="{0BE8C4AA-28AA-496E-BA91-4F555F153DF5}">
      <text>
        <r>
          <rPr>
            <sz val="9"/>
            <color indexed="81"/>
            <rFont val="MS P ゴシック"/>
            <family val="3"/>
            <charset val="128"/>
          </rPr>
          <t>資料から</t>
        </r>
      </text>
    </comment>
    <comment ref="M147" authorId="0" shapeId="0" xr:uid="{0F6CFC27-34DC-4C5D-96E0-2FEC5526CBBB}">
      <text>
        <r>
          <rPr>
            <sz val="9"/>
            <color indexed="81"/>
            <rFont val="MS P ゴシック"/>
            <family val="3"/>
            <charset val="128"/>
          </rPr>
          <t>BSから</t>
        </r>
      </text>
    </comment>
    <comment ref="I151" authorId="0" shapeId="0" xr:uid="{0A3A9EB3-F854-41A8-B1F0-C7725DB85E98}">
      <text>
        <r>
          <rPr>
            <sz val="9"/>
            <color indexed="81"/>
            <rFont val="MS P ゴシック"/>
            <family val="3"/>
            <charset val="128"/>
          </rPr>
          <t xml:space="preserve">年間売上高
</t>
        </r>
      </text>
    </comment>
    <comment ref="J151" authorId="0" shapeId="0" xr:uid="{31CC9DA6-53ED-4EC2-8AB9-5DEB7D06CA9B}">
      <text>
        <r>
          <rPr>
            <sz val="9"/>
            <color indexed="81"/>
            <rFont val="MS P ゴシック"/>
            <family val="3"/>
            <charset val="128"/>
          </rPr>
          <t>差額で計算</t>
        </r>
      </text>
    </comment>
    <comment ref="M151" authorId="0" shapeId="0" xr:uid="{0E78D093-4F78-4077-8C60-A71CC75D2EF5}">
      <text>
        <r>
          <rPr>
            <sz val="9"/>
            <color indexed="81"/>
            <rFont val="MS P ゴシック"/>
            <family val="3"/>
            <charset val="128"/>
          </rPr>
          <t>年間原料仕入高</t>
        </r>
      </text>
    </comment>
    <comment ref="B162" authorId="0" shapeId="0" xr:uid="{F6584D62-6299-4F3A-8849-A7ED0E312992}">
      <text>
        <r>
          <rPr>
            <sz val="9"/>
            <color indexed="81"/>
            <rFont val="MS P ゴシック"/>
            <family val="3"/>
            <charset val="128"/>
          </rPr>
          <t>BSから</t>
        </r>
      </text>
    </comment>
    <comment ref="C162" authorId="0" shapeId="0" xr:uid="{37B90068-8622-4557-8E7D-5AD64607D2D4}">
      <text>
        <r>
          <rPr>
            <sz val="9"/>
            <color indexed="81"/>
            <rFont val="MS P ゴシック"/>
            <family val="3"/>
            <charset val="128"/>
          </rPr>
          <t>1Q資料から</t>
        </r>
      </text>
    </comment>
    <comment ref="E162" authorId="0" shapeId="0" xr:uid="{5F534218-C0EE-4A25-94A7-620B8438944C}">
      <text>
        <r>
          <rPr>
            <sz val="9"/>
            <color indexed="81"/>
            <rFont val="MS P ゴシック"/>
            <family val="3"/>
            <charset val="128"/>
          </rPr>
          <t>1Q末の金額。以下同じ計算を繰り返す</t>
        </r>
      </text>
    </comment>
    <comment ref="B169" authorId="0" shapeId="0" xr:uid="{8C462D7E-4A08-4ECA-8099-4465B674B539}">
      <text>
        <r>
          <rPr>
            <sz val="9"/>
            <color indexed="81"/>
            <rFont val="MS P ゴシック"/>
            <family val="3"/>
            <charset val="128"/>
          </rPr>
          <t>仮残高を見て、借入金額を決める(資金繰り)
後で借入利息を計算</t>
        </r>
      </text>
    </comment>
    <comment ref="L169" authorId="0" shapeId="0" xr:uid="{9B838BB2-DFFB-4913-BFFC-D5D322DC9E01}">
      <text>
        <r>
          <rPr>
            <sz val="9"/>
            <color indexed="81"/>
            <rFont val="MS P ゴシック"/>
            <family val="3"/>
            <charset val="128"/>
          </rPr>
          <t>元本返済1,000
借入利息40</t>
        </r>
      </text>
    </comment>
    <comment ref="L171" authorId="0" shapeId="0" xr:uid="{2BC3FF43-872E-4BC7-B375-02D7C48A5E37}">
      <text>
        <r>
          <rPr>
            <sz val="9"/>
            <color indexed="81"/>
            <rFont val="MS P ゴシック"/>
            <family val="3"/>
            <charset val="128"/>
          </rPr>
          <t>BSの期末現金へ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日本水産株式会社</author>
  </authors>
  <commentList>
    <comment ref="H23" authorId="0" shapeId="0" xr:uid="{4A8262B1-6DD9-4144-83A7-6EB2D9800683}">
      <text>
        <r>
          <rPr>
            <sz val="9"/>
            <color indexed="81"/>
            <rFont val="MS P ゴシック"/>
            <family val="3"/>
            <charset val="128"/>
          </rPr>
          <t xml:space="preserve">固定費・変動費に分け、直接原価計算PLに組み替え
</t>
        </r>
      </text>
    </comment>
    <comment ref="H28" authorId="0" shapeId="0" xr:uid="{46B8CB5A-653B-4F51-A207-DFB5678B9923}">
      <text>
        <r>
          <rPr>
            <sz val="9"/>
            <color indexed="81"/>
            <rFont val="MS P ゴシック"/>
            <family val="3"/>
            <charset val="128"/>
          </rPr>
          <t>直接原価計算に組み替え。ただし固定費額は変わらず、製品別には赤字</t>
        </r>
      </text>
    </comment>
    <comment ref="H38" authorId="0" shapeId="0" xr:uid="{F00B39C3-7823-4F45-8BC6-BDA4554E6239}">
      <text>
        <r>
          <rPr>
            <sz val="9"/>
            <color indexed="81"/>
            <rFont val="MS P ゴシック"/>
            <family val="3"/>
            <charset val="128"/>
          </rPr>
          <t>直接跡付けできない経費を共通に残すと、セグメント・マージンを把握できる</t>
        </r>
      </text>
    </comment>
  </commentList>
</comments>
</file>

<file path=xl/sharedStrings.xml><?xml version="1.0" encoding="utf-8"?>
<sst xmlns="http://schemas.openxmlformats.org/spreadsheetml/2006/main" count="2033" uniqueCount="1113">
  <si>
    <t>C</t>
    <phoneticPr fontId="3"/>
  </si>
  <si>
    <t>A</t>
    <phoneticPr fontId="3"/>
  </si>
  <si>
    <t>CASE9</t>
  </si>
  <si>
    <t>CASE8</t>
  </si>
  <si>
    <t>CASE7</t>
  </si>
  <si>
    <t>CASE6</t>
  </si>
  <si>
    <t>CASE5</t>
  </si>
  <si>
    <t>CASE4</t>
  </si>
  <si>
    <t>CASE3</t>
  </si>
  <si>
    <t>CASE2</t>
  </si>
  <si>
    <t>B</t>
    <phoneticPr fontId="3"/>
  </si>
  <si>
    <t>標準原価カード</t>
    <rPh sb="0" eb="2">
      <t>ヒョウジュン</t>
    </rPh>
    <rPh sb="2" eb="4">
      <t>ゲンカ</t>
    </rPh>
    <phoneticPr fontId="3"/>
  </si>
  <si>
    <t>問題</t>
    <rPh sb="0" eb="2">
      <t>モンダイ</t>
    </rPh>
    <phoneticPr fontId="3"/>
  </si>
  <si>
    <t>計算パターンの要素</t>
    <rPh sb="0" eb="2">
      <t>ケイサン</t>
    </rPh>
    <rPh sb="7" eb="9">
      <t>ヨウソ</t>
    </rPh>
    <phoneticPr fontId="3"/>
  </si>
  <si>
    <t>タイトル</t>
    <phoneticPr fontId="3"/>
  </si>
  <si>
    <t>重要度</t>
    <rPh sb="0" eb="3">
      <t>ジュウヨウド</t>
    </rPh>
    <phoneticPr fontId="3"/>
  </si>
  <si>
    <t>章・節</t>
    <rPh sb="0" eb="1">
      <t>ショウ</t>
    </rPh>
    <rPh sb="2" eb="3">
      <t>セツ</t>
    </rPh>
    <phoneticPr fontId="3"/>
  </si>
  <si>
    <t>CASE10</t>
    <phoneticPr fontId="3"/>
  </si>
  <si>
    <t>CASE1</t>
    <phoneticPr fontId="3"/>
  </si>
  <si>
    <t>A</t>
    <phoneticPr fontId="3"/>
  </si>
  <si>
    <t>A</t>
    <phoneticPr fontId="3"/>
  </si>
  <si>
    <t>C</t>
    <phoneticPr fontId="3"/>
  </si>
  <si>
    <t>CASE11</t>
    <phoneticPr fontId="3"/>
  </si>
  <si>
    <t>CASE12</t>
    <phoneticPr fontId="3"/>
  </si>
  <si>
    <t>CASE13</t>
    <phoneticPr fontId="3"/>
  </si>
  <si>
    <t>CASE14</t>
    <phoneticPr fontId="3"/>
  </si>
  <si>
    <t>CASE15</t>
    <phoneticPr fontId="3"/>
  </si>
  <si>
    <t>CASE16</t>
    <phoneticPr fontId="3"/>
  </si>
  <si>
    <t>CASE17</t>
    <phoneticPr fontId="3"/>
  </si>
  <si>
    <t>CASE18</t>
    <phoneticPr fontId="3"/>
  </si>
  <si>
    <t>CASE19</t>
    <phoneticPr fontId="3"/>
  </si>
  <si>
    <t>CASE20</t>
    <phoneticPr fontId="3"/>
  </si>
  <si>
    <t>CASE21</t>
    <phoneticPr fontId="3"/>
  </si>
  <si>
    <t>CASE22</t>
    <phoneticPr fontId="3"/>
  </si>
  <si>
    <t>CASE23</t>
    <phoneticPr fontId="3"/>
  </si>
  <si>
    <t>CASE24</t>
    <phoneticPr fontId="3"/>
  </si>
  <si>
    <t>管理会計のための原価計算とは？</t>
  </si>
  <si>
    <t>利益管理とは？</t>
  </si>
  <si>
    <t>CVP分析とは？</t>
  </si>
  <si>
    <t>予算管理とは？</t>
  </si>
  <si>
    <t>予算実績差異分析とは？</t>
  </si>
  <si>
    <t>B</t>
    <phoneticPr fontId="3"/>
  </si>
  <si>
    <t>S</t>
    <phoneticPr fontId="3"/>
  </si>
  <si>
    <t>第6章 予算実績差異分析</t>
    <rPh sb="0" eb="1">
      <t>ダイ</t>
    </rPh>
    <rPh sb="2" eb="3">
      <t>ショウ</t>
    </rPh>
    <rPh sb="4" eb="6">
      <t>ヨサン</t>
    </rPh>
    <rPh sb="6" eb="8">
      <t>ジッセキ</t>
    </rPh>
    <rPh sb="8" eb="10">
      <t>サイ</t>
    </rPh>
    <rPh sb="10" eb="12">
      <t>ブンセキ</t>
    </rPh>
    <phoneticPr fontId="3"/>
  </si>
  <si>
    <t>第5章 事業部の業績測定</t>
    <rPh sb="0" eb="1">
      <t>ダイ</t>
    </rPh>
    <rPh sb="2" eb="3">
      <t>ショウ</t>
    </rPh>
    <rPh sb="4" eb="6">
      <t>ジギョウ</t>
    </rPh>
    <rPh sb="6" eb="7">
      <t>ブ</t>
    </rPh>
    <rPh sb="8" eb="10">
      <t>ギョウセキ</t>
    </rPh>
    <rPh sb="10" eb="12">
      <t>ソクテイ</t>
    </rPh>
    <phoneticPr fontId="3"/>
  </si>
  <si>
    <t>第4章 予算編成</t>
    <rPh sb="0" eb="1">
      <t>ダイ</t>
    </rPh>
    <rPh sb="2" eb="3">
      <t>ショウ</t>
    </rPh>
    <rPh sb="4" eb="6">
      <t>ヨサン</t>
    </rPh>
    <rPh sb="6" eb="8">
      <t>ヘンセイ</t>
    </rPh>
    <phoneticPr fontId="3"/>
  </si>
  <si>
    <t>第3章 最適セールス・ミックスの決定</t>
    <rPh sb="0" eb="1">
      <t>ダイ</t>
    </rPh>
    <rPh sb="2" eb="3">
      <t>ショウ</t>
    </rPh>
    <rPh sb="4" eb="6">
      <t>サイテキ</t>
    </rPh>
    <rPh sb="16" eb="18">
      <t>ケッテイ</t>
    </rPh>
    <phoneticPr fontId="3"/>
  </si>
  <si>
    <t>第2章 CVP分析</t>
    <rPh sb="0" eb="1">
      <t>ダイ</t>
    </rPh>
    <rPh sb="2" eb="3">
      <t>ショウ</t>
    </rPh>
    <rPh sb="7" eb="9">
      <t>ブンセキ</t>
    </rPh>
    <phoneticPr fontId="3"/>
  </si>
  <si>
    <t xml:space="preserve">直接原価計算の特徴 </t>
    <phoneticPr fontId="3"/>
  </si>
  <si>
    <t>(例題) 問①</t>
  </si>
  <si>
    <t xml:space="preserve">全部原価計算制度と直接原価計算制度 </t>
    <phoneticPr fontId="3"/>
  </si>
  <si>
    <t xml:space="preserve">固定費調整 </t>
    <phoneticPr fontId="3"/>
  </si>
  <si>
    <t xml:space="preserve">直接標準原価計算 </t>
    <phoneticPr fontId="3"/>
  </si>
  <si>
    <t>(例題)</t>
  </si>
  <si>
    <t xml:space="preserve">原価の固変分解 </t>
    <phoneticPr fontId="3"/>
  </si>
  <si>
    <t>(例題) 問④⑤</t>
  </si>
  <si>
    <t xml:space="preserve">CVP分析～基本編 </t>
    <phoneticPr fontId="3"/>
  </si>
  <si>
    <t>(例題) 問⑥</t>
  </si>
  <si>
    <t xml:space="preserve">CVP分析～応用編 </t>
    <phoneticPr fontId="3"/>
  </si>
  <si>
    <t>(例題) 問⑦</t>
  </si>
  <si>
    <t xml:space="preserve">感度分析とは？ </t>
    <phoneticPr fontId="3"/>
  </si>
  <si>
    <t xml:space="preserve">多品種製品のCVP分析 </t>
    <phoneticPr fontId="3"/>
  </si>
  <si>
    <t>(例題) 問⑧</t>
  </si>
  <si>
    <t xml:space="preserve">制約条件が1つの場合 </t>
    <phoneticPr fontId="3"/>
  </si>
  <si>
    <t>(例題) 問⑨</t>
  </si>
  <si>
    <t xml:space="preserve"> 制約条件が2つ以上の場合 </t>
    <phoneticPr fontId="3"/>
  </si>
  <si>
    <t>(例題) 問⑩</t>
  </si>
  <si>
    <t xml:space="preserve">予算編成 </t>
    <phoneticPr fontId="3"/>
  </si>
  <si>
    <t>(例題) 問⑪⑫</t>
  </si>
  <si>
    <t>セグメント別損益計算</t>
    <phoneticPr fontId="3"/>
  </si>
  <si>
    <t xml:space="preserve">資本コスト率の計算 </t>
    <phoneticPr fontId="3"/>
  </si>
  <si>
    <t>事業部長と事業部自体の業績評価</t>
    <phoneticPr fontId="3"/>
  </si>
  <si>
    <t xml:space="preserve">業績評価の指標 </t>
    <phoneticPr fontId="3"/>
  </si>
  <si>
    <t>(例題) 問⑮</t>
    <phoneticPr fontId="3"/>
  </si>
  <si>
    <t xml:space="preserve">予算実績差異分析～直接実際原価計算 </t>
    <phoneticPr fontId="3"/>
  </si>
  <si>
    <t xml:space="preserve">予算実績差異分析～直接標準原価計算 </t>
    <phoneticPr fontId="3"/>
  </si>
  <si>
    <t>(例題) 問⑯</t>
    <phoneticPr fontId="3"/>
  </si>
  <si>
    <t xml:space="preserve">製品品種別のマーケット・シェア分析 </t>
    <phoneticPr fontId="3"/>
  </si>
  <si>
    <t xml:space="preserve">同種製品のセールス・ミックス分析 </t>
    <phoneticPr fontId="3"/>
  </si>
  <si>
    <t>(例題)</t>
    <phoneticPr fontId="3"/>
  </si>
  <si>
    <t>CASE25</t>
    <phoneticPr fontId="3"/>
  </si>
  <si>
    <t>【直接原価計算編】
第1章 直接原価計算</t>
    <rPh sb="1" eb="3">
      <t>チョクセツ</t>
    </rPh>
    <rPh sb="3" eb="5">
      <t>ゲンカ</t>
    </rPh>
    <rPh sb="5" eb="7">
      <t>ケイサン</t>
    </rPh>
    <rPh sb="7" eb="8">
      <t>ヘン</t>
    </rPh>
    <rPh sb="10" eb="11">
      <t>ダイ</t>
    </rPh>
    <rPh sb="12" eb="13">
      <t>ショウ</t>
    </rPh>
    <rPh sb="14" eb="16">
      <t>チョクセツ</t>
    </rPh>
    <rPh sb="16" eb="18">
      <t>ゲンカ</t>
    </rPh>
    <rPh sb="18" eb="20">
      <t>ケイサン</t>
    </rPh>
    <phoneticPr fontId="3"/>
  </si>
  <si>
    <t>【CVP分析編】</t>
    <rPh sb="4" eb="6">
      <t>ブンセキ</t>
    </rPh>
    <rPh sb="6" eb="7">
      <t>ヘン</t>
    </rPh>
    <phoneticPr fontId="3"/>
  </si>
  <si>
    <t>【予実差異分析編】</t>
    <rPh sb="1" eb="3">
      <t>ヨジツ</t>
    </rPh>
    <rPh sb="3" eb="5">
      <t>サイ</t>
    </rPh>
    <rPh sb="5" eb="7">
      <t>ブンセキ</t>
    </rPh>
    <rPh sb="7" eb="8">
      <t>ヘン</t>
    </rPh>
    <phoneticPr fontId="3"/>
  </si>
  <si>
    <t>スッキリわかる 1級エクセル CVP</t>
    <rPh sb="9" eb="10">
      <t>キュウ</t>
    </rPh>
    <phoneticPr fontId="3"/>
  </si>
  <si>
    <t>第1章 CASE3 直接原価計算の特徴</t>
    <rPh sb="0" eb="1">
      <t>ダイ</t>
    </rPh>
    <rPh sb="2" eb="3">
      <t>ショウ</t>
    </rPh>
    <rPh sb="10" eb="12">
      <t>チョクセツ</t>
    </rPh>
    <rPh sb="12" eb="14">
      <t>ゲンカ</t>
    </rPh>
    <rPh sb="14" eb="16">
      <t>ケイサン</t>
    </rPh>
    <rPh sb="17" eb="19">
      <t>トクチョウ</t>
    </rPh>
    <phoneticPr fontId="3"/>
  </si>
  <si>
    <t>問1 全部原価計算PL</t>
    <rPh sb="0" eb="1">
      <t>ト</t>
    </rPh>
    <rPh sb="3" eb="5">
      <t>ゼンブ</t>
    </rPh>
    <rPh sb="5" eb="7">
      <t>ゲンカ</t>
    </rPh>
    <rPh sb="7" eb="9">
      <t>ケイサン</t>
    </rPh>
    <phoneticPr fontId="3"/>
  </si>
  <si>
    <t>Ⅰ 売上高</t>
    <rPh sb="2" eb="4">
      <t>ウリアゲ</t>
    </rPh>
    <rPh sb="4" eb="5">
      <t>ダカ</t>
    </rPh>
    <phoneticPr fontId="3"/>
  </si>
  <si>
    <t>Ⅱ 売上原価</t>
    <rPh sb="2" eb="4">
      <t>ウリアゲ</t>
    </rPh>
    <rPh sb="4" eb="6">
      <t>ゲンカ</t>
    </rPh>
    <phoneticPr fontId="3"/>
  </si>
  <si>
    <t>1.月初製品棚卸高</t>
    <rPh sb="2" eb="4">
      <t>ゲッショ</t>
    </rPh>
    <rPh sb="4" eb="6">
      <t>セイヒン</t>
    </rPh>
    <rPh sb="6" eb="8">
      <t>タナオロシ</t>
    </rPh>
    <rPh sb="8" eb="9">
      <t>ダカ</t>
    </rPh>
    <phoneticPr fontId="3"/>
  </si>
  <si>
    <t>2.当月製品製造原価</t>
    <rPh sb="2" eb="4">
      <t>トウゲツ</t>
    </rPh>
    <rPh sb="4" eb="6">
      <t>セイヒン</t>
    </rPh>
    <rPh sb="6" eb="8">
      <t>セイゾウ</t>
    </rPh>
    <rPh sb="8" eb="10">
      <t>ゲンカ</t>
    </rPh>
    <phoneticPr fontId="3"/>
  </si>
  <si>
    <t xml:space="preserve">  合計</t>
    <rPh sb="2" eb="4">
      <t>ゴウケイ</t>
    </rPh>
    <phoneticPr fontId="3"/>
  </si>
  <si>
    <t>3.月末製品棚卸高</t>
    <rPh sb="2" eb="4">
      <t>ゲツマツ</t>
    </rPh>
    <rPh sb="4" eb="6">
      <t>セイヒン</t>
    </rPh>
    <rPh sb="6" eb="8">
      <t>タナオロシ</t>
    </rPh>
    <rPh sb="8" eb="9">
      <t>ダカ</t>
    </rPh>
    <phoneticPr fontId="3"/>
  </si>
  <si>
    <t xml:space="preserve">  差引</t>
    <rPh sb="2" eb="4">
      <t>サシヒキ</t>
    </rPh>
    <phoneticPr fontId="3"/>
  </si>
  <si>
    <t>4.原価差額</t>
    <rPh sb="2" eb="4">
      <t>ゲンカ</t>
    </rPh>
    <rPh sb="4" eb="6">
      <t>サガク</t>
    </rPh>
    <phoneticPr fontId="3"/>
  </si>
  <si>
    <t xml:space="preserve">  売上総利益</t>
    <rPh sb="2" eb="4">
      <t>ウリアゲ</t>
    </rPh>
    <rPh sb="4" eb="7">
      <t>ソウリエキ</t>
    </rPh>
    <phoneticPr fontId="3"/>
  </si>
  <si>
    <t>Ⅲ販管費</t>
    <rPh sb="1" eb="4">
      <t>ハンカンヒ</t>
    </rPh>
    <phoneticPr fontId="3"/>
  </si>
  <si>
    <t xml:space="preserve">  営業利益</t>
    <rPh sb="2" eb="4">
      <t>エイギョウ</t>
    </rPh>
    <rPh sb="4" eb="6">
      <t>リエキ</t>
    </rPh>
    <phoneticPr fontId="3"/>
  </si>
  <si>
    <t>問2 直接原価計算PL</t>
    <rPh sb="0" eb="1">
      <t>ト</t>
    </rPh>
    <rPh sb="3" eb="5">
      <t>チョクセツ</t>
    </rPh>
    <rPh sb="5" eb="7">
      <t>ゲンカ</t>
    </rPh>
    <rPh sb="7" eb="9">
      <t>ケイサン</t>
    </rPh>
    <phoneticPr fontId="3"/>
  </si>
  <si>
    <t xml:space="preserve">  変動製造マージン</t>
    <rPh sb="2" eb="4">
      <t>ヘンドウ</t>
    </rPh>
    <rPh sb="4" eb="6">
      <t>セイゾウ</t>
    </rPh>
    <phoneticPr fontId="3"/>
  </si>
  <si>
    <r>
      <t xml:space="preserve">Ⅱ </t>
    </r>
    <r>
      <rPr>
        <sz val="10"/>
        <color rgb="FFFF0000"/>
        <rFont val="游ゴシック"/>
        <family val="3"/>
        <charset val="128"/>
        <scheme val="minor"/>
      </rPr>
      <t>変動</t>
    </r>
    <r>
      <rPr>
        <sz val="10"/>
        <color theme="1"/>
        <rFont val="游ゴシック"/>
        <family val="3"/>
        <charset val="128"/>
        <scheme val="minor"/>
      </rPr>
      <t>売上原価</t>
    </r>
    <rPh sb="2" eb="4">
      <t>ヘンドウ</t>
    </rPh>
    <rPh sb="4" eb="6">
      <t>ウリアゲ</t>
    </rPh>
    <rPh sb="6" eb="8">
      <t>ゲンカ</t>
    </rPh>
    <phoneticPr fontId="3"/>
  </si>
  <si>
    <t>Ⅲ 変動販売費</t>
    <rPh sb="2" eb="4">
      <t>ヘンドウ</t>
    </rPh>
    <rPh sb="4" eb="7">
      <t>ハンバイヒ</t>
    </rPh>
    <phoneticPr fontId="3"/>
  </si>
  <si>
    <t xml:space="preserve">  貢献利益</t>
    <rPh sb="2" eb="4">
      <t>コウケン</t>
    </rPh>
    <rPh sb="4" eb="6">
      <t>リエキ</t>
    </rPh>
    <phoneticPr fontId="3"/>
  </si>
  <si>
    <t>Ⅳ 固定費</t>
    <rPh sb="2" eb="5">
      <t>コテイヒ</t>
    </rPh>
    <phoneticPr fontId="3"/>
  </si>
  <si>
    <t>1.加工費</t>
    <rPh sb="2" eb="5">
      <t>カコウヒ</t>
    </rPh>
    <phoneticPr fontId="3"/>
  </si>
  <si>
    <t>2.販管費</t>
    <rPh sb="2" eb="5">
      <t>ハンカンヒ</t>
    </rPh>
    <phoneticPr fontId="3"/>
  </si>
  <si>
    <t>直接原価計算の営業利益</t>
    <rPh sb="0" eb="2">
      <t>チョクセツ</t>
    </rPh>
    <rPh sb="2" eb="4">
      <t>ゲンカ</t>
    </rPh>
    <rPh sb="4" eb="6">
      <t>ケイサン</t>
    </rPh>
    <rPh sb="7" eb="9">
      <t>エイギョウ</t>
    </rPh>
    <rPh sb="9" eb="11">
      <t>リエキ</t>
    </rPh>
    <phoneticPr fontId="3"/>
  </si>
  <si>
    <t>+)加算項目</t>
    <rPh sb="2" eb="4">
      <t>カサン</t>
    </rPh>
    <rPh sb="4" eb="6">
      <t>コウモク</t>
    </rPh>
    <phoneticPr fontId="3"/>
  </si>
  <si>
    <t>-)減算項目</t>
    <rPh sb="2" eb="4">
      <t>ゲンサン</t>
    </rPh>
    <rPh sb="4" eb="6">
      <t>コウモク</t>
    </rPh>
    <phoneticPr fontId="3"/>
  </si>
  <si>
    <t xml:space="preserve"> 月末製品に含まれる固定加工費</t>
    <rPh sb="1" eb="3">
      <t>ゲツマツ</t>
    </rPh>
    <rPh sb="3" eb="5">
      <t>セイヒン</t>
    </rPh>
    <rPh sb="6" eb="7">
      <t>フク</t>
    </rPh>
    <rPh sb="10" eb="12">
      <t>コテイ</t>
    </rPh>
    <rPh sb="12" eb="15">
      <t>カコウヒ</t>
    </rPh>
    <phoneticPr fontId="3"/>
  </si>
  <si>
    <t xml:space="preserve"> 月末仕掛品に含まれる固定加工費</t>
    <rPh sb="1" eb="3">
      <t>ゲツマツ</t>
    </rPh>
    <rPh sb="3" eb="5">
      <t>シカカリ</t>
    </rPh>
    <rPh sb="5" eb="6">
      <t>ヒン</t>
    </rPh>
    <rPh sb="7" eb="8">
      <t>フク</t>
    </rPh>
    <rPh sb="11" eb="13">
      <t>コテイ</t>
    </rPh>
    <rPh sb="13" eb="16">
      <t>カコウヒ</t>
    </rPh>
    <phoneticPr fontId="3"/>
  </si>
  <si>
    <t xml:space="preserve">  月初製品に含まれる固定加工費</t>
    <rPh sb="2" eb="4">
      <t>ゲッショ</t>
    </rPh>
    <rPh sb="4" eb="6">
      <t>セイヒン</t>
    </rPh>
    <rPh sb="7" eb="8">
      <t>フク</t>
    </rPh>
    <rPh sb="11" eb="13">
      <t>コテイ</t>
    </rPh>
    <rPh sb="13" eb="16">
      <t>カコウヒ</t>
    </rPh>
    <phoneticPr fontId="3"/>
  </si>
  <si>
    <t xml:space="preserve">  月初仕掛品に含まれる固定加工費</t>
    <rPh sb="2" eb="4">
      <t>ゲッショ</t>
    </rPh>
    <rPh sb="4" eb="6">
      <t>シカカリ</t>
    </rPh>
    <rPh sb="6" eb="7">
      <t>ヒン</t>
    </rPh>
    <rPh sb="8" eb="9">
      <t>フク</t>
    </rPh>
    <rPh sb="12" eb="14">
      <t>コテイ</t>
    </rPh>
    <rPh sb="14" eb="17">
      <t>カコウヒ</t>
    </rPh>
    <phoneticPr fontId="3"/>
  </si>
  <si>
    <t>全部原価計算の営業利益</t>
    <rPh sb="0" eb="2">
      <t>ゼンブ</t>
    </rPh>
    <rPh sb="2" eb="4">
      <t>ゲンカ</t>
    </rPh>
    <rPh sb="4" eb="6">
      <t>ケイサン</t>
    </rPh>
    <rPh sb="7" eb="9">
      <t>エイギョウ</t>
    </rPh>
    <rPh sb="9" eb="11">
      <t>リエキ</t>
    </rPh>
    <phoneticPr fontId="3"/>
  </si>
  <si>
    <t xml:space="preserve"> 第1工程</t>
    <rPh sb="1" eb="2">
      <t>ダイ</t>
    </rPh>
    <rPh sb="3" eb="5">
      <t>コウテイ</t>
    </rPh>
    <phoneticPr fontId="3"/>
  </si>
  <si>
    <t xml:space="preserve"> 予算差異</t>
    <rPh sb="1" eb="3">
      <t>ヨサン</t>
    </rPh>
    <rPh sb="3" eb="5">
      <t>サイ</t>
    </rPh>
    <phoneticPr fontId="3"/>
  </si>
  <si>
    <t xml:space="preserve"> 操業度差異</t>
    <rPh sb="1" eb="3">
      <t>ソウギョウ</t>
    </rPh>
    <rPh sb="3" eb="4">
      <t>ド</t>
    </rPh>
    <rPh sb="4" eb="6">
      <t>サイ</t>
    </rPh>
    <phoneticPr fontId="3"/>
  </si>
  <si>
    <t xml:space="preserve"> 第2工程</t>
    <rPh sb="1" eb="2">
      <t>ダイ</t>
    </rPh>
    <rPh sb="3" eb="5">
      <t>コウテイ</t>
    </rPh>
    <phoneticPr fontId="3"/>
  </si>
  <si>
    <t xml:space="preserve">  差異合計</t>
    <rPh sb="2" eb="4">
      <t>サイ</t>
    </rPh>
    <rPh sb="4" eb="6">
      <t>ゴウケイ</t>
    </rPh>
    <phoneticPr fontId="3"/>
  </si>
  <si>
    <t xml:space="preserve"> 売上総利益</t>
    <rPh sb="1" eb="3">
      <t>ウリアゲ</t>
    </rPh>
    <rPh sb="3" eb="6">
      <t>ソウリエキ</t>
    </rPh>
    <phoneticPr fontId="3"/>
  </si>
  <si>
    <t xml:space="preserve"> 営業利益</t>
    <rPh sb="1" eb="3">
      <t>エイギョウ</t>
    </rPh>
    <rPh sb="3" eb="5">
      <t>リエキ</t>
    </rPh>
    <phoneticPr fontId="3"/>
  </si>
  <si>
    <t xml:space="preserve">   小計</t>
    <rPh sb="3" eb="5">
      <t>ショウケイ</t>
    </rPh>
    <phoneticPr fontId="3"/>
  </si>
  <si>
    <t>Ⅱ 変動売上原価</t>
    <rPh sb="2" eb="4">
      <t>ヘンドウ</t>
    </rPh>
    <rPh sb="4" eb="6">
      <t>ウリアゲ</t>
    </rPh>
    <rPh sb="6" eb="8">
      <t>ゲンカ</t>
    </rPh>
    <phoneticPr fontId="3"/>
  </si>
  <si>
    <t>4.変動製造原価差異</t>
    <rPh sb="2" eb="4">
      <t>ヘンドウ</t>
    </rPh>
    <rPh sb="4" eb="6">
      <t>セイゾウ</t>
    </rPh>
    <rPh sb="6" eb="8">
      <t>ゲンカ</t>
    </rPh>
    <rPh sb="8" eb="10">
      <t>サイ</t>
    </rPh>
    <phoneticPr fontId="3"/>
  </si>
  <si>
    <t xml:space="preserve"> 第1工程加工費</t>
    <rPh sb="1" eb="2">
      <t>ダイ</t>
    </rPh>
    <rPh sb="3" eb="5">
      <t>コウテイ</t>
    </rPh>
    <rPh sb="5" eb="8">
      <t>カコウヒ</t>
    </rPh>
    <phoneticPr fontId="3"/>
  </si>
  <si>
    <t xml:space="preserve"> 第2工程加工費</t>
    <rPh sb="1" eb="2">
      <t>ダイ</t>
    </rPh>
    <rPh sb="3" eb="5">
      <t>コウテイ</t>
    </rPh>
    <rPh sb="5" eb="8">
      <t>カコウヒ</t>
    </rPh>
    <phoneticPr fontId="3"/>
  </si>
  <si>
    <t xml:space="preserve"> 販売費</t>
    <rPh sb="1" eb="4">
      <t>ハンバイヒ</t>
    </rPh>
    <phoneticPr fontId="3"/>
  </si>
  <si>
    <t xml:space="preserve"> 一般管理費</t>
    <rPh sb="1" eb="3">
      <t>イッパン</t>
    </rPh>
    <rPh sb="3" eb="6">
      <t>カンリヒ</t>
    </rPh>
    <phoneticPr fontId="3"/>
  </si>
  <si>
    <t xml:space="preserve">   営業利益</t>
    <rPh sb="3" eb="5">
      <t>エイギョウ</t>
    </rPh>
    <rPh sb="5" eb="7">
      <t>リエキ</t>
    </rPh>
    <phoneticPr fontId="3"/>
  </si>
  <si>
    <t>月末仕掛品固定費</t>
    <rPh sb="0" eb="2">
      <t>ゲツマツ</t>
    </rPh>
    <rPh sb="2" eb="4">
      <t>シカカリ</t>
    </rPh>
    <rPh sb="4" eb="5">
      <t>ヒン</t>
    </rPh>
    <rPh sb="5" eb="8">
      <t>コテイヒ</t>
    </rPh>
    <phoneticPr fontId="3"/>
  </si>
  <si>
    <t xml:space="preserve">  第1工程</t>
    <rPh sb="2" eb="3">
      <t>ダイ</t>
    </rPh>
    <rPh sb="4" eb="6">
      <t>コウテイ</t>
    </rPh>
    <phoneticPr fontId="3"/>
  </si>
  <si>
    <t xml:space="preserve">  第2工程</t>
    <rPh sb="2" eb="3">
      <t>ダイ</t>
    </rPh>
    <rPh sb="4" eb="6">
      <t>コウテイ</t>
    </rPh>
    <phoneticPr fontId="3"/>
  </si>
  <si>
    <t>+)控除項目</t>
    <rPh sb="2" eb="4">
      <t>コウジョ</t>
    </rPh>
    <rPh sb="4" eb="6">
      <t>コウモク</t>
    </rPh>
    <phoneticPr fontId="3"/>
  </si>
  <si>
    <t>月初仕掛品固定費</t>
    <rPh sb="2" eb="4">
      <t>シカカリ</t>
    </rPh>
    <rPh sb="4" eb="5">
      <t>ヒン</t>
    </rPh>
    <rPh sb="5" eb="8">
      <t>コテイヒ</t>
    </rPh>
    <phoneticPr fontId="3"/>
  </si>
  <si>
    <t>Ⅱ 標準変動売上原価</t>
    <rPh sb="2" eb="4">
      <t>ヒョウジュン</t>
    </rPh>
    <rPh sb="4" eb="6">
      <t>ヘンドウ</t>
    </rPh>
    <rPh sb="6" eb="8">
      <t>ウリアゲ</t>
    </rPh>
    <rPh sb="8" eb="10">
      <t>ゲンカ</t>
    </rPh>
    <phoneticPr fontId="3"/>
  </si>
  <si>
    <t>標準変動製造マージン</t>
    <rPh sb="0" eb="2">
      <t>ヒョウジュン</t>
    </rPh>
    <rPh sb="2" eb="4">
      <t>ヘンドウ</t>
    </rPh>
    <rPh sb="4" eb="6">
      <t>セイゾウ</t>
    </rPh>
    <phoneticPr fontId="3"/>
  </si>
  <si>
    <t>Ⅲ  標準変動販売費</t>
    <rPh sb="3" eb="5">
      <t>ヒョウジュン</t>
    </rPh>
    <rPh sb="5" eb="7">
      <t>ヘンドウ</t>
    </rPh>
    <rPh sb="7" eb="10">
      <t>ハンバイヒ</t>
    </rPh>
    <phoneticPr fontId="3"/>
  </si>
  <si>
    <t>Ⅳ 標準変動費差異</t>
    <rPh sb="2" eb="4">
      <t>ヒョウジュン</t>
    </rPh>
    <rPh sb="4" eb="6">
      <t>ヘンドウ</t>
    </rPh>
    <rPh sb="6" eb="7">
      <t>ヒ</t>
    </rPh>
    <rPh sb="7" eb="9">
      <t>サイ</t>
    </rPh>
    <phoneticPr fontId="3"/>
  </si>
  <si>
    <t xml:space="preserve">  1.価格差異</t>
    <rPh sb="4" eb="6">
      <t>カカク</t>
    </rPh>
    <rPh sb="6" eb="8">
      <t>サイ</t>
    </rPh>
    <phoneticPr fontId="3"/>
  </si>
  <si>
    <t xml:space="preserve">  2.数量差異</t>
    <rPh sb="4" eb="6">
      <t>スウリョウ</t>
    </rPh>
    <rPh sb="6" eb="8">
      <t>サイ</t>
    </rPh>
    <phoneticPr fontId="3"/>
  </si>
  <si>
    <t xml:space="preserve">  3.賃率差異</t>
    <rPh sb="4" eb="6">
      <t>チンリツ</t>
    </rPh>
    <rPh sb="6" eb="8">
      <t>サイ</t>
    </rPh>
    <phoneticPr fontId="3"/>
  </si>
  <si>
    <t xml:space="preserve">  4.時間差異</t>
    <rPh sb="4" eb="6">
      <t>ジカン</t>
    </rPh>
    <rPh sb="6" eb="8">
      <t>サイ</t>
    </rPh>
    <phoneticPr fontId="3"/>
  </si>
  <si>
    <t xml:space="preserve">  5.予算差異</t>
    <rPh sb="4" eb="6">
      <t>ヨサン</t>
    </rPh>
    <rPh sb="6" eb="8">
      <t>サイ</t>
    </rPh>
    <phoneticPr fontId="3"/>
  </si>
  <si>
    <t xml:space="preserve">  6.能率差異</t>
    <rPh sb="4" eb="6">
      <t>ノウリツ</t>
    </rPh>
    <rPh sb="6" eb="8">
      <t>サイ</t>
    </rPh>
    <phoneticPr fontId="3"/>
  </si>
  <si>
    <t xml:space="preserve">  7.変動販売費予算差異</t>
    <rPh sb="4" eb="6">
      <t>ヘンドウ</t>
    </rPh>
    <rPh sb="6" eb="9">
      <t>ハンバイヒ</t>
    </rPh>
    <rPh sb="9" eb="11">
      <t>ヨサン</t>
    </rPh>
    <rPh sb="11" eb="13">
      <t>サイ</t>
    </rPh>
    <phoneticPr fontId="3"/>
  </si>
  <si>
    <t>実際貢献利益</t>
    <rPh sb="0" eb="2">
      <t>ジッサイ</t>
    </rPh>
    <rPh sb="2" eb="4">
      <t>コウケン</t>
    </rPh>
    <rPh sb="4" eb="6">
      <t>リエキ</t>
    </rPh>
    <phoneticPr fontId="3"/>
  </si>
  <si>
    <t>Ⅴ 固定費</t>
    <rPh sb="2" eb="5">
      <t>コテイヒ</t>
    </rPh>
    <phoneticPr fontId="3"/>
  </si>
  <si>
    <t xml:space="preserve"> 1.固定製造間接費</t>
    <rPh sb="3" eb="5">
      <t>コテイ</t>
    </rPh>
    <rPh sb="5" eb="7">
      <t>セイゾウ</t>
    </rPh>
    <rPh sb="7" eb="9">
      <t>カンセツ</t>
    </rPh>
    <rPh sb="9" eb="10">
      <t>ヒ</t>
    </rPh>
    <phoneticPr fontId="3"/>
  </si>
  <si>
    <t xml:space="preserve"> 2.固定販管費</t>
    <rPh sb="3" eb="5">
      <t>コテイ</t>
    </rPh>
    <rPh sb="5" eb="8">
      <t>ハンカンヒ</t>
    </rPh>
    <phoneticPr fontId="3"/>
  </si>
  <si>
    <t>直接原価計算方式の営業利益</t>
    <rPh sb="0" eb="2">
      <t>チョクセツ</t>
    </rPh>
    <rPh sb="2" eb="4">
      <t>ゲンカ</t>
    </rPh>
    <rPh sb="4" eb="6">
      <t>ケイサン</t>
    </rPh>
    <rPh sb="6" eb="8">
      <t>ホウシキ</t>
    </rPh>
    <rPh sb="9" eb="13">
      <t>エイギョウリエキ</t>
    </rPh>
    <phoneticPr fontId="3"/>
  </si>
  <si>
    <t>固定費調整額</t>
    <rPh sb="0" eb="3">
      <t>コテイヒ</t>
    </rPh>
    <rPh sb="3" eb="5">
      <t>チョウセイ</t>
    </rPh>
    <rPh sb="5" eb="6">
      <t>ガク</t>
    </rPh>
    <phoneticPr fontId="3"/>
  </si>
  <si>
    <t>全部原価計算方式の営業利益</t>
    <rPh sb="0" eb="2">
      <t>ゼンブ</t>
    </rPh>
    <rPh sb="2" eb="4">
      <t>ゲンカ</t>
    </rPh>
    <rPh sb="4" eb="6">
      <t>ケイサン</t>
    </rPh>
    <rPh sb="6" eb="8">
      <t>ホウシキ</t>
    </rPh>
    <rPh sb="9" eb="11">
      <t>エイギョウ</t>
    </rPh>
    <rPh sb="11" eb="13">
      <t>リエキ</t>
    </rPh>
    <phoneticPr fontId="3"/>
  </si>
  <si>
    <t>原価データ</t>
    <rPh sb="0" eb="2">
      <t>ゲンカ</t>
    </rPh>
    <phoneticPr fontId="3"/>
  </si>
  <si>
    <t>直接材料購入高</t>
    <rPh sb="0" eb="2">
      <t>チョクセツ</t>
    </rPh>
    <rPh sb="2" eb="4">
      <t>ザイリョウ</t>
    </rPh>
    <rPh sb="4" eb="7">
      <t>コウニュウダカ</t>
    </rPh>
    <phoneticPr fontId="3"/>
  </si>
  <si>
    <t>直接材料月初有高</t>
    <rPh sb="0" eb="2">
      <t>チョクセツ</t>
    </rPh>
    <rPh sb="2" eb="4">
      <t>ザイリョウ</t>
    </rPh>
    <rPh sb="4" eb="6">
      <t>ゲッショ</t>
    </rPh>
    <rPh sb="6" eb="7">
      <t>アリ</t>
    </rPh>
    <rPh sb="7" eb="8">
      <t>ダカ</t>
    </rPh>
    <phoneticPr fontId="3"/>
  </si>
  <si>
    <t>直接材料月末有高</t>
    <rPh sb="0" eb="2">
      <t>チョクセツ</t>
    </rPh>
    <rPh sb="2" eb="4">
      <t>ザイリョウ</t>
    </rPh>
    <rPh sb="4" eb="6">
      <t>ゲツマツ</t>
    </rPh>
    <rPh sb="6" eb="7">
      <t>アリ</t>
    </rPh>
    <rPh sb="7" eb="8">
      <t>ダカ</t>
    </rPh>
    <phoneticPr fontId="3"/>
  </si>
  <si>
    <t>加工費実際発生額</t>
    <rPh sb="0" eb="3">
      <t>カコウヒ</t>
    </rPh>
    <rPh sb="3" eb="5">
      <t>ジッサイ</t>
    </rPh>
    <rPh sb="5" eb="7">
      <t>ハッセイ</t>
    </rPh>
    <rPh sb="7" eb="8">
      <t>ガク</t>
    </rPh>
    <phoneticPr fontId="3"/>
  </si>
  <si>
    <t>販管費</t>
    <rPh sb="0" eb="3">
      <t>ハンカンヒ</t>
    </rPh>
    <phoneticPr fontId="3"/>
  </si>
  <si>
    <t xml:space="preserve">  変動販売費VS</t>
    <rPh sb="2" eb="4">
      <t>ヘンドウ</t>
    </rPh>
    <rPh sb="4" eb="7">
      <t>ハンバイヒ</t>
    </rPh>
    <phoneticPr fontId="3"/>
  </si>
  <si>
    <t xml:space="preserve">  変動加工費VK</t>
    <rPh sb="2" eb="4">
      <t>ヘンドウ</t>
    </rPh>
    <rPh sb="4" eb="7">
      <t>カコウヒ</t>
    </rPh>
    <phoneticPr fontId="3"/>
  </si>
  <si>
    <t xml:space="preserve">  固定加工費FK</t>
    <rPh sb="2" eb="4">
      <t>コテイ</t>
    </rPh>
    <rPh sb="4" eb="7">
      <t>カコウヒ</t>
    </rPh>
    <phoneticPr fontId="3"/>
  </si>
  <si>
    <t>円</t>
    <rPh sb="0" eb="1">
      <t>エン</t>
    </rPh>
    <phoneticPr fontId="3"/>
  </si>
  <si>
    <t>月間</t>
    <rPh sb="0" eb="2">
      <t>ゲッカン</t>
    </rPh>
    <phoneticPr fontId="3"/>
  </si>
  <si>
    <t>円/個</t>
    <rPh sb="0" eb="1">
      <t>エン</t>
    </rPh>
    <rPh sb="2" eb="3">
      <t>コ</t>
    </rPh>
    <phoneticPr fontId="3"/>
  </si>
  <si>
    <t>数量BOX　FIFO</t>
    <rPh sb="0" eb="2">
      <t>スウリョウ</t>
    </rPh>
    <phoneticPr fontId="3"/>
  </si>
  <si>
    <t>月初仕掛品</t>
    <rPh sb="0" eb="2">
      <t>ゲッショ</t>
    </rPh>
    <rPh sb="2" eb="4">
      <t>シカカリ</t>
    </rPh>
    <rPh sb="4" eb="5">
      <t>ヒン</t>
    </rPh>
    <phoneticPr fontId="3"/>
  </si>
  <si>
    <t>当月完成品</t>
    <rPh sb="0" eb="2">
      <t>トウゲツ</t>
    </rPh>
    <rPh sb="2" eb="5">
      <t>カンセイヒン</t>
    </rPh>
    <phoneticPr fontId="3"/>
  </si>
  <si>
    <t>直接材料費</t>
    <rPh sb="0" eb="2">
      <t>チョクセツ</t>
    </rPh>
    <rPh sb="2" eb="5">
      <t>ザイリョウヒ</t>
    </rPh>
    <phoneticPr fontId="3"/>
  </si>
  <si>
    <t>変動加工費</t>
    <rPh sb="0" eb="2">
      <t>ヘンドウ</t>
    </rPh>
    <rPh sb="2" eb="5">
      <t>カコウヒ</t>
    </rPh>
    <phoneticPr fontId="3"/>
  </si>
  <si>
    <t>固定加工費</t>
    <rPh sb="0" eb="2">
      <t>コテイ</t>
    </rPh>
    <rPh sb="2" eb="5">
      <t>カコウヒ</t>
    </rPh>
    <phoneticPr fontId="3"/>
  </si>
  <si>
    <t>月末仕掛品</t>
    <rPh sb="0" eb="2">
      <t>ゲツマツ</t>
    </rPh>
    <rPh sb="2" eb="4">
      <t>シカカリ</t>
    </rPh>
    <rPh sb="4" eb="5">
      <t>ヒン</t>
    </rPh>
    <phoneticPr fontId="3"/>
  </si>
  <si>
    <t>当月投入</t>
    <rPh sb="0" eb="2">
      <t>トウゲツ</t>
    </rPh>
    <rPh sb="2" eb="4">
      <t>トウニュウ</t>
    </rPh>
    <phoneticPr fontId="3"/>
  </si>
  <si>
    <t>年間正常生産量</t>
    <rPh sb="0" eb="2">
      <t>ネンカン</t>
    </rPh>
    <rPh sb="2" eb="4">
      <t>セイジョウ</t>
    </rPh>
    <rPh sb="4" eb="6">
      <t>セイサン</t>
    </rPh>
    <rPh sb="6" eb="7">
      <t>リョウ</t>
    </rPh>
    <phoneticPr fontId="3"/>
  </si>
  <si>
    <t>変動加工費予算</t>
    <rPh sb="0" eb="2">
      <t>ヘンドウ</t>
    </rPh>
    <rPh sb="2" eb="5">
      <t>カコウヒ</t>
    </rPh>
    <rPh sb="5" eb="7">
      <t>ヨサン</t>
    </rPh>
    <phoneticPr fontId="3"/>
  </si>
  <si>
    <t>固定加工費予算</t>
    <rPh sb="0" eb="2">
      <t>コテイ</t>
    </rPh>
    <rPh sb="2" eb="5">
      <t>カコウヒ</t>
    </rPh>
    <rPh sb="5" eb="7">
      <t>ヨサン</t>
    </rPh>
    <phoneticPr fontId="3"/>
  </si>
  <si>
    <t>年間</t>
    <rPh sb="0" eb="2">
      <t>ネンカン</t>
    </rPh>
    <phoneticPr fontId="3"/>
  </si>
  <si>
    <t>単価</t>
    <rPh sb="0" eb="2">
      <t>タンカ</t>
    </rPh>
    <phoneticPr fontId="3"/>
  </si>
  <si>
    <t>金額BOX FIFO</t>
    <rPh sb="0" eb="2">
      <t>キンガク</t>
    </rPh>
    <phoneticPr fontId="3"/>
  </si>
  <si>
    <t>原価差額</t>
    <rPh sb="0" eb="2">
      <t>ゲンカ</t>
    </rPh>
    <rPh sb="2" eb="4">
      <t>サガク</t>
    </rPh>
    <phoneticPr fontId="3"/>
  </si>
  <si>
    <t>販売単価</t>
    <rPh sb="0" eb="2">
      <t>ハンバイ</t>
    </rPh>
    <rPh sb="2" eb="4">
      <t>タンカ</t>
    </rPh>
    <phoneticPr fontId="3"/>
  </si>
  <si>
    <t>月初製品</t>
    <rPh sb="0" eb="2">
      <t>ゲッショ</t>
    </rPh>
    <rPh sb="2" eb="4">
      <t>セイヒン</t>
    </rPh>
    <phoneticPr fontId="3"/>
  </si>
  <si>
    <t>当月販売</t>
    <rPh sb="0" eb="2">
      <t>トウゲツ</t>
    </rPh>
    <rPh sb="2" eb="4">
      <t>ハンバイ</t>
    </rPh>
    <phoneticPr fontId="3"/>
  </si>
  <si>
    <t>月末製品</t>
    <rPh sb="0" eb="2">
      <t>ゲツマツ</t>
    </rPh>
    <rPh sb="2" eb="4">
      <t>セイヒン</t>
    </rPh>
    <phoneticPr fontId="3"/>
  </si>
  <si>
    <t>・・①</t>
    <phoneticPr fontId="3"/>
  </si>
  <si>
    <t>・・②</t>
    <phoneticPr fontId="3"/>
  </si>
  <si>
    <t>・・①と一致する</t>
    <rPh sb="4" eb="6">
      <t>イッチ</t>
    </rPh>
    <phoneticPr fontId="3"/>
  </si>
  <si>
    <t>↓ここまでのデータの整理には簿記の知識(標準＋総合原価計算)が問われる</t>
    <rPh sb="10" eb="12">
      <t>セイリ</t>
    </rPh>
    <rPh sb="14" eb="16">
      <t>ボキ</t>
    </rPh>
    <rPh sb="17" eb="19">
      <t>チシキ</t>
    </rPh>
    <rPh sb="20" eb="22">
      <t>ヒョウジュン</t>
    </rPh>
    <rPh sb="23" eb="25">
      <t>ソウゴウ</t>
    </rPh>
    <rPh sb="25" eb="27">
      <t>ゲンカ</t>
    </rPh>
    <rPh sb="27" eb="29">
      <t>ケイサン</t>
    </rPh>
    <rPh sb="31" eb="32">
      <t>ト</t>
    </rPh>
    <phoneticPr fontId="3"/>
  </si>
  <si>
    <t>↓ここから下は、整理したデータを当てはめるだけ。ここで直接原価計算の知識が問われる</t>
    <rPh sb="5" eb="6">
      <t>シタ</t>
    </rPh>
    <rPh sb="8" eb="10">
      <t>セイリ</t>
    </rPh>
    <rPh sb="16" eb="17">
      <t>ア</t>
    </rPh>
    <rPh sb="27" eb="29">
      <t>チョクセツ</t>
    </rPh>
    <rPh sb="29" eb="31">
      <t>ゲンカ</t>
    </rPh>
    <rPh sb="31" eb="33">
      <t>ケイサン</t>
    </rPh>
    <rPh sb="34" eb="36">
      <t>チシキ</t>
    </rPh>
    <rPh sb="37" eb="38">
      <t>ト</t>
    </rPh>
    <phoneticPr fontId="3"/>
  </si>
  <si>
    <t>問題①：直接原価計算</t>
    <rPh sb="0" eb="2">
      <t>モンダイ</t>
    </rPh>
    <rPh sb="4" eb="6">
      <t>チョクセツ</t>
    </rPh>
    <rPh sb="6" eb="8">
      <t>ゲンカ</t>
    </rPh>
    <rPh sb="8" eb="10">
      <t>ケイサン</t>
    </rPh>
    <phoneticPr fontId="3"/>
  </si>
  <si>
    <t>この後のCVP分析の基礎となる｢直接原価計算｣を学ぶ基本問題。</t>
    <rPh sb="2" eb="3">
      <t>アト</t>
    </rPh>
    <rPh sb="7" eb="9">
      <t>ブンセキ</t>
    </rPh>
    <rPh sb="10" eb="12">
      <t>キソ</t>
    </rPh>
    <rPh sb="16" eb="18">
      <t>チョクセツ</t>
    </rPh>
    <rPh sb="18" eb="20">
      <t>ゲンカ</t>
    </rPh>
    <rPh sb="20" eb="22">
      <t>ケイサン</t>
    </rPh>
    <rPh sb="24" eb="25">
      <t>マナ</t>
    </rPh>
    <rPh sb="26" eb="28">
      <t>キホン</t>
    </rPh>
    <rPh sb="28" eb="30">
      <t>モンダイ</t>
    </rPh>
    <phoneticPr fontId="3"/>
  </si>
  <si>
    <t>ただし問題を解くには簿記2級レベルの原価計算知識(標準＋総合)を使うため、簿記未習の方はデータ整理を飛ばして、後半のPLの違い(全部⇔直接)だけ見ればOK。</t>
    <rPh sb="3" eb="5">
      <t>モンダイ</t>
    </rPh>
    <rPh sb="6" eb="7">
      <t>ト</t>
    </rPh>
    <rPh sb="10" eb="12">
      <t>ボキ</t>
    </rPh>
    <rPh sb="13" eb="14">
      <t>キュウ</t>
    </rPh>
    <rPh sb="18" eb="20">
      <t>ゲンカ</t>
    </rPh>
    <rPh sb="20" eb="22">
      <t>ケイサン</t>
    </rPh>
    <rPh sb="22" eb="24">
      <t>チシキ</t>
    </rPh>
    <rPh sb="25" eb="27">
      <t>ヒョウジュン</t>
    </rPh>
    <rPh sb="28" eb="30">
      <t>ソウゴウ</t>
    </rPh>
    <rPh sb="32" eb="33">
      <t>ツカ</t>
    </rPh>
    <rPh sb="37" eb="39">
      <t>ボキ</t>
    </rPh>
    <rPh sb="39" eb="41">
      <t>ミシュウ</t>
    </rPh>
    <rPh sb="42" eb="43">
      <t>カタ</t>
    </rPh>
    <rPh sb="47" eb="49">
      <t>セイリ</t>
    </rPh>
    <rPh sb="50" eb="51">
      <t>ト</t>
    </rPh>
    <rPh sb="55" eb="57">
      <t>コウハン</t>
    </rPh>
    <rPh sb="61" eb="62">
      <t>チガ</t>
    </rPh>
    <rPh sb="64" eb="66">
      <t>ゼンブ</t>
    </rPh>
    <rPh sb="67" eb="69">
      <t>チョクセツ</t>
    </rPh>
    <rPh sb="72" eb="73">
      <t>ミ</t>
    </rPh>
    <phoneticPr fontId="3"/>
  </si>
  <si>
    <t xml:space="preserve">  固定販管費FS</t>
    <rPh sb="2" eb="4">
      <t>コテイ</t>
    </rPh>
    <rPh sb="4" eb="7">
      <t>ハンカンヒ</t>
    </rPh>
    <phoneticPr fontId="3"/>
  </si>
  <si>
    <t>簿記既習の方は一から解いてデータ整理の練習をしても良いし、エクセルだけ眺めて直接原価計算の理解UPに専念してもOK。</t>
    <rPh sb="0" eb="2">
      <t>ボキ</t>
    </rPh>
    <rPh sb="2" eb="4">
      <t>キシュウ</t>
    </rPh>
    <rPh sb="5" eb="6">
      <t>カタ</t>
    </rPh>
    <rPh sb="7" eb="8">
      <t>イチ</t>
    </rPh>
    <rPh sb="10" eb="11">
      <t>ト</t>
    </rPh>
    <rPh sb="16" eb="18">
      <t>セイリ</t>
    </rPh>
    <rPh sb="19" eb="21">
      <t>レンシュウ</t>
    </rPh>
    <rPh sb="25" eb="26">
      <t>ヨ</t>
    </rPh>
    <rPh sb="35" eb="36">
      <t>ナガ</t>
    </rPh>
    <rPh sb="38" eb="40">
      <t>チョクセツ</t>
    </rPh>
    <rPh sb="40" eb="42">
      <t>ゲンカ</t>
    </rPh>
    <rPh sb="42" eb="44">
      <t>ケイサン</t>
    </rPh>
    <rPh sb="45" eb="47">
      <t>リカイ</t>
    </rPh>
    <rPh sb="50" eb="52">
      <t>センネン</t>
    </rPh>
    <phoneticPr fontId="3"/>
  </si>
  <si>
    <t>例題：直接原価計算</t>
    <rPh sb="0" eb="2">
      <t>レイダイ</t>
    </rPh>
    <rPh sb="3" eb="5">
      <t>チョクセツ</t>
    </rPh>
    <rPh sb="5" eb="7">
      <t>ゲンカ</t>
    </rPh>
    <rPh sb="7" eb="9">
      <t>ケイサン</t>
    </rPh>
    <phoneticPr fontId="3"/>
  </si>
  <si>
    <t>Ⅰ 売上高</t>
    <rPh sb="2" eb="4">
      <t>ウリアゲ</t>
    </rPh>
    <rPh sb="4" eb="5">
      <t>ダカ</t>
    </rPh>
    <phoneticPr fontId="3"/>
  </si>
  <si>
    <t>Ⅱ 売上原価</t>
    <rPh sb="2" eb="4">
      <t>ウリアゲ</t>
    </rPh>
    <rPh sb="4" eb="6">
      <t>ゲンカ</t>
    </rPh>
    <phoneticPr fontId="3"/>
  </si>
  <si>
    <t xml:space="preserve">   売上総利益</t>
    <rPh sb="3" eb="5">
      <t>ウリアゲ</t>
    </rPh>
    <rPh sb="5" eb="8">
      <t>ソウリエキ</t>
    </rPh>
    <phoneticPr fontId="3"/>
  </si>
  <si>
    <t>Ⅲ 販管費</t>
    <rPh sb="2" eb="5">
      <t>ハンカンヒ</t>
    </rPh>
    <phoneticPr fontId="3"/>
  </si>
  <si>
    <t xml:space="preserve">   営業利益</t>
    <rPh sb="3" eb="5">
      <t>エイギョウ</t>
    </rPh>
    <rPh sb="5" eb="7">
      <t>リエキ</t>
    </rPh>
    <phoneticPr fontId="3"/>
  </si>
  <si>
    <t>第1期</t>
    <rPh sb="0" eb="1">
      <t>ダイ</t>
    </rPh>
    <rPh sb="2" eb="3">
      <t>キ</t>
    </rPh>
    <phoneticPr fontId="3"/>
  </si>
  <si>
    <t>第2期</t>
    <rPh sb="0" eb="1">
      <t>ダイ</t>
    </rPh>
    <rPh sb="2" eb="3">
      <t>キ</t>
    </rPh>
    <phoneticPr fontId="3"/>
  </si>
  <si>
    <t>①全部原価計算による損益計算書</t>
    <rPh sb="1" eb="3">
      <t>ゼンブ</t>
    </rPh>
    <rPh sb="3" eb="5">
      <t>ゲンカ</t>
    </rPh>
    <rPh sb="5" eb="7">
      <t>ケイサン</t>
    </rPh>
    <rPh sb="10" eb="12">
      <t>ソンエキ</t>
    </rPh>
    <rPh sb="12" eb="15">
      <t>ケイサンショ</t>
    </rPh>
    <phoneticPr fontId="3"/>
  </si>
  <si>
    <t>②直接原価計算による損益計算書</t>
    <rPh sb="1" eb="3">
      <t>チョクセツ</t>
    </rPh>
    <rPh sb="3" eb="5">
      <t>ゲンカ</t>
    </rPh>
    <rPh sb="5" eb="7">
      <t>ケイサン</t>
    </rPh>
    <rPh sb="10" eb="12">
      <t>ソンエキ</t>
    </rPh>
    <rPh sb="12" eb="15">
      <t>ケイサンショ</t>
    </rPh>
    <phoneticPr fontId="3"/>
  </si>
  <si>
    <t>Ⅱ 変動費</t>
    <rPh sb="2" eb="4">
      <t>ヘンドウ</t>
    </rPh>
    <rPh sb="4" eb="5">
      <t>ヒ</t>
    </rPh>
    <phoneticPr fontId="3"/>
  </si>
  <si>
    <t xml:space="preserve">   貢献利益</t>
    <rPh sb="3" eb="5">
      <t>コウケン</t>
    </rPh>
    <rPh sb="5" eb="7">
      <t>リエキ</t>
    </rPh>
    <phoneticPr fontId="3"/>
  </si>
  <si>
    <t>Ⅲ 固定費</t>
    <rPh sb="2" eb="5">
      <t>コテイヒ</t>
    </rPh>
    <phoneticPr fontId="3"/>
  </si>
  <si>
    <t>資料</t>
    <rPh sb="0" eb="2">
      <t>シリョウ</t>
    </rPh>
    <phoneticPr fontId="3"/>
  </si>
  <si>
    <t>販売単価</t>
    <rPh sb="0" eb="2">
      <t>ハンバイ</t>
    </rPh>
    <rPh sb="2" eb="4">
      <t>タンカ</t>
    </rPh>
    <phoneticPr fontId="3"/>
  </si>
  <si>
    <t>円/個</t>
    <rPh sb="0" eb="1">
      <t>エン</t>
    </rPh>
    <rPh sb="2" eb="3">
      <t>コ</t>
    </rPh>
    <phoneticPr fontId="3"/>
  </si>
  <si>
    <t>円/年</t>
    <rPh sb="0" eb="1">
      <t>エン</t>
    </rPh>
    <rPh sb="2" eb="3">
      <t>ネン</t>
    </rPh>
    <phoneticPr fontId="3"/>
  </si>
  <si>
    <t>製品BOX(数量)</t>
    <rPh sb="0" eb="2">
      <t>セイヒン</t>
    </rPh>
    <rPh sb="6" eb="8">
      <t>スウリョウ</t>
    </rPh>
    <phoneticPr fontId="3"/>
  </si>
  <si>
    <t>期首在庫量</t>
    <rPh sb="0" eb="2">
      <t>キシュ</t>
    </rPh>
    <rPh sb="2" eb="4">
      <t>ザイコ</t>
    </rPh>
    <rPh sb="4" eb="5">
      <t>リョウ</t>
    </rPh>
    <phoneticPr fontId="3"/>
  </si>
  <si>
    <t>当期生産量</t>
    <rPh sb="0" eb="2">
      <t>トウキ</t>
    </rPh>
    <rPh sb="2" eb="4">
      <t>セイサン</t>
    </rPh>
    <rPh sb="4" eb="5">
      <t>リョウ</t>
    </rPh>
    <phoneticPr fontId="3"/>
  </si>
  <si>
    <t>期末在庫量</t>
    <rPh sb="0" eb="2">
      <t>キマツ</t>
    </rPh>
    <rPh sb="2" eb="4">
      <t>ザイコ</t>
    </rPh>
    <rPh sb="4" eb="5">
      <t>リョウ</t>
    </rPh>
    <phoneticPr fontId="3"/>
  </si>
  <si>
    <t>当期販売量</t>
    <rPh sb="0" eb="2">
      <t>トウキ</t>
    </rPh>
    <rPh sb="2" eb="4">
      <t>ハンバイ</t>
    </rPh>
    <rPh sb="4" eb="5">
      <t>リョウ</t>
    </rPh>
    <phoneticPr fontId="3"/>
  </si>
  <si>
    <t>VG変動製造原価</t>
    <rPh sb="2" eb="4">
      <t>ヘンドウ</t>
    </rPh>
    <rPh sb="4" eb="6">
      <t>セイゾウ</t>
    </rPh>
    <rPh sb="6" eb="8">
      <t>ゲンカ</t>
    </rPh>
    <phoneticPr fontId="3"/>
  </si>
  <si>
    <t>FG固定製造原価</t>
    <rPh sb="2" eb="4">
      <t>コテイ</t>
    </rPh>
    <rPh sb="4" eb="6">
      <t>セイゾウ</t>
    </rPh>
    <rPh sb="6" eb="8">
      <t>ゲンカ</t>
    </rPh>
    <phoneticPr fontId="3"/>
  </si>
  <si>
    <t>VS変動販売費</t>
    <rPh sb="2" eb="4">
      <t>ヘンドウ</t>
    </rPh>
    <rPh sb="4" eb="7">
      <t>ハンバイヒ</t>
    </rPh>
    <phoneticPr fontId="3"/>
  </si>
  <si>
    <t>FS固定販売費</t>
    <rPh sb="2" eb="4">
      <t>コテイ</t>
    </rPh>
    <rPh sb="4" eb="7">
      <t>ハンバイヒ</t>
    </rPh>
    <phoneticPr fontId="3"/>
  </si>
  <si>
    <t>FA固定管理費</t>
    <rPh sb="2" eb="4">
      <t>コテイ</t>
    </rPh>
    <rPh sb="4" eb="7">
      <t>カンリヒ</t>
    </rPh>
    <phoneticPr fontId="3"/>
  </si>
  <si>
    <t>S=Sales販売費</t>
    <rPh sb="7" eb="10">
      <t>ハンバイヒ</t>
    </rPh>
    <phoneticPr fontId="3"/>
  </si>
  <si>
    <t>A=Administrasion管理費</t>
    <rPh sb="16" eb="19">
      <t>カンリヒ</t>
    </rPh>
    <phoneticPr fontId="3"/>
  </si>
  <si>
    <t>G=Genka原価</t>
    <rPh sb="7" eb="9">
      <t>ゲンカ</t>
    </rPh>
    <phoneticPr fontId="3"/>
  </si>
  <si>
    <t>VG</t>
    <phoneticPr fontId="3"/>
  </si>
  <si>
    <t>FG</t>
    <phoneticPr fontId="3"/>
  </si>
  <si>
    <t>※仕掛品BOXは省略</t>
    <rPh sb="1" eb="3">
      <t>シカカリ</t>
    </rPh>
    <rPh sb="3" eb="4">
      <t>ヒン</t>
    </rPh>
    <rPh sb="8" eb="10">
      <t>ショウリャク</t>
    </rPh>
    <phoneticPr fontId="3"/>
  </si>
  <si>
    <t>この例題では、第1期⇔第2期は同じ売上高(販売量×販売価格)なのに、｢全部原価計算｣によると第2期の方が営業利益が大きくなる。</t>
    <rPh sb="2" eb="4">
      <t>レイダイ</t>
    </rPh>
    <rPh sb="7" eb="8">
      <t>ダイ</t>
    </rPh>
    <rPh sb="9" eb="10">
      <t>キ</t>
    </rPh>
    <rPh sb="11" eb="12">
      <t>ダイ</t>
    </rPh>
    <rPh sb="13" eb="14">
      <t>キ</t>
    </rPh>
    <rPh sb="15" eb="16">
      <t>オナ</t>
    </rPh>
    <rPh sb="17" eb="19">
      <t>ウリアゲ</t>
    </rPh>
    <rPh sb="19" eb="20">
      <t>ダカ</t>
    </rPh>
    <rPh sb="21" eb="23">
      <t>ハンバイ</t>
    </rPh>
    <rPh sb="23" eb="24">
      <t>リョウ</t>
    </rPh>
    <rPh sb="25" eb="27">
      <t>ハンバイ</t>
    </rPh>
    <rPh sb="27" eb="29">
      <t>カカク</t>
    </rPh>
    <rPh sb="35" eb="37">
      <t>ゼンブ</t>
    </rPh>
    <rPh sb="37" eb="39">
      <t>ゲンカ</t>
    </rPh>
    <rPh sb="39" eb="41">
      <t>ケイサン</t>
    </rPh>
    <rPh sb="46" eb="47">
      <t>ダイ</t>
    </rPh>
    <rPh sb="48" eb="49">
      <t>キ</t>
    </rPh>
    <rPh sb="50" eb="51">
      <t>ホウ</t>
    </rPh>
    <rPh sb="52" eb="54">
      <t>エイギョウ</t>
    </rPh>
    <rPh sb="54" eb="56">
      <t>リエキ</t>
    </rPh>
    <rPh sb="57" eb="58">
      <t>オオ</t>
    </rPh>
    <phoneticPr fontId="3"/>
  </si>
  <si>
    <t>それっておかしいよね？ を実際に計算して納得させる基本問題です。</t>
    <rPh sb="13" eb="15">
      <t>ジッサイ</t>
    </rPh>
    <rPh sb="16" eb="18">
      <t>ケイサン</t>
    </rPh>
    <rPh sb="20" eb="22">
      <t>ナットク</t>
    </rPh>
    <rPh sb="25" eb="27">
      <t>キホン</t>
    </rPh>
    <rPh sb="27" eb="29">
      <t>モンダイ</t>
    </rPh>
    <phoneticPr fontId="3"/>
  </si>
  <si>
    <t>簿記論点を学ぶセオリーとして、最初から理解しようとせず、手を動かして計算手順を覚えるのが最初。理屈はその後です。</t>
    <rPh sb="0" eb="2">
      <t>ボキ</t>
    </rPh>
    <rPh sb="2" eb="4">
      <t>ロンテン</t>
    </rPh>
    <rPh sb="5" eb="6">
      <t>マナ</t>
    </rPh>
    <rPh sb="15" eb="17">
      <t>サイショ</t>
    </rPh>
    <rPh sb="19" eb="21">
      <t>リカイ</t>
    </rPh>
    <rPh sb="28" eb="29">
      <t>テ</t>
    </rPh>
    <rPh sb="30" eb="31">
      <t>ウゴ</t>
    </rPh>
    <rPh sb="34" eb="36">
      <t>ケイサン</t>
    </rPh>
    <rPh sb="36" eb="38">
      <t>テジュン</t>
    </rPh>
    <rPh sb="39" eb="40">
      <t>オボ</t>
    </rPh>
    <rPh sb="44" eb="46">
      <t>サイショ</t>
    </rPh>
    <rPh sb="47" eb="49">
      <t>リクツ</t>
    </rPh>
    <rPh sb="52" eb="53">
      <t>アト</t>
    </rPh>
    <phoneticPr fontId="3"/>
  </si>
  <si>
    <t>仕掛品</t>
    <rPh sb="0" eb="2">
      <t>シカカリ</t>
    </rPh>
    <rPh sb="2" eb="3">
      <t>ヒン</t>
    </rPh>
    <phoneticPr fontId="3"/>
  </si>
  <si>
    <t>第1工程</t>
    <rPh sb="0" eb="1">
      <t>ダイ</t>
    </rPh>
    <rPh sb="2" eb="4">
      <t>コウテイ</t>
    </rPh>
    <phoneticPr fontId="3"/>
  </si>
  <si>
    <t>第2工程</t>
    <rPh sb="0" eb="1">
      <t>ダイ</t>
    </rPh>
    <rPh sb="2" eb="4">
      <t>コウテイ</t>
    </rPh>
    <phoneticPr fontId="3"/>
  </si>
  <si>
    <t>減損</t>
    <rPh sb="0" eb="2">
      <t>ゲンソン</t>
    </rPh>
    <phoneticPr fontId="3"/>
  </si>
  <si>
    <t>ZA(始点投入)</t>
    <rPh sb="3" eb="5">
      <t>シテン</t>
    </rPh>
    <rPh sb="5" eb="7">
      <t>トウニュウ</t>
    </rPh>
    <phoneticPr fontId="3"/>
  </si>
  <si>
    <t>ZB(平均投入)</t>
    <rPh sb="3" eb="5">
      <t>ヘイキン</t>
    </rPh>
    <rPh sb="5" eb="7">
      <t>トウニュウ</t>
    </rPh>
    <phoneticPr fontId="3"/>
  </si>
  <si>
    <t>AVE</t>
    <phoneticPr fontId="3"/>
  </si>
  <si>
    <t>FIFO</t>
    <phoneticPr fontId="3"/>
  </si>
  <si>
    <t>製品BOX</t>
    <rPh sb="0" eb="2">
      <t>セイヒン</t>
    </rPh>
    <phoneticPr fontId="3"/>
  </si>
  <si>
    <t>資料</t>
    <rPh sb="0" eb="2">
      <t>シリョウ</t>
    </rPh>
    <phoneticPr fontId="3"/>
  </si>
  <si>
    <t>V変動費</t>
    <rPh sb="1" eb="3">
      <t>ヘンドウ</t>
    </rPh>
    <rPh sb="3" eb="4">
      <t>ヒ</t>
    </rPh>
    <phoneticPr fontId="3"/>
  </si>
  <si>
    <t>F固定費</t>
    <rPh sb="1" eb="4">
      <t>コテイヒ</t>
    </rPh>
    <phoneticPr fontId="3"/>
  </si>
  <si>
    <t>月初製品単位原価</t>
    <rPh sb="0" eb="2">
      <t>ゲッショ</t>
    </rPh>
    <rPh sb="2" eb="4">
      <t>セイヒン</t>
    </rPh>
    <rPh sb="4" eb="6">
      <t>タンイ</t>
    </rPh>
    <rPh sb="6" eb="8">
      <t>ゲンカ</t>
    </rPh>
    <phoneticPr fontId="3"/>
  </si>
  <si>
    <t>変動費</t>
    <rPh sb="0" eb="2">
      <t>ヘンドウ</t>
    </rPh>
    <rPh sb="2" eb="3">
      <t>ヒ</t>
    </rPh>
    <phoneticPr fontId="3"/>
  </si>
  <si>
    <t>固定費</t>
    <rPh sb="0" eb="3">
      <t>コテイヒ</t>
    </rPh>
    <phoneticPr fontId="3"/>
  </si>
  <si>
    <t>VK</t>
    <phoneticPr fontId="3"/>
  </si>
  <si>
    <t>FK</t>
    <phoneticPr fontId="3"/>
  </si>
  <si>
    <t>前工程費変動V</t>
    <rPh sb="0" eb="1">
      <t>ゼン</t>
    </rPh>
    <rPh sb="1" eb="3">
      <t>コウテイ</t>
    </rPh>
    <rPh sb="3" eb="4">
      <t>ヒ</t>
    </rPh>
    <rPh sb="4" eb="6">
      <t>ヘンドウ</t>
    </rPh>
    <phoneticPr fontId="3"/>
  </si>
  <si>
    <t>前工程費固定F</t>
    <rPh sb="0" eb="1">
      <t>ゼン</t>
    </rPh>
    <rPh sb="1" eb="3">
      <t>コウテイ</t>
    </rPh>
    <rPh sb="3" eb="4">
      <t>ヒ</t>
    </rPh>
    <rPh sb="4" eb="6">
      <t>コテイ</t>
    </rPh>
    <phoneticPr fontId="3"/>
  </si>
  <si>
    <t>FK</t>
    <phoneticPr fontId="3"/>
  </si>
  <si>
    <t>加工費予算</t>
    <rPh sb="0" eb="3">
      <t>カコウヒ</t>
    </rPh>
    <rPh sb="3" eb="5">
      <t>ヨサン</t>
    </rPh>
    <phoneticPr fontId="3"/>
  </si>
  <si>
    <t>予定生産量</t>
    <rPh sb="0" eb="2">
      <t>ヨテイ</t>
    </rPh>
    <rPh sb="2" eb="4">
      <t>セイサン</t>
    </rPh>
    <rPh sb="4" eb="5">
      <t>リョウ</t>
    </rPh>
    <phoneticPr fontId="3"/>
  </si>
  <si>
    <t>VK予算</t>
    <rPh sb="2" eb="4">
      <t>ヨサン</t>
    </rPh>
    <phoneticPr fontId="3"/>
  </si>
  <si>
    <t>FK予算</t>
    <rPh sb="2" eb="4">
      <t>ヨサン</t>
    </rPh>
    <phoneticPr fontId="3"/>
  </si>
  <si>
    <t>加工費実績</t>
    <rPh sb="0" eb="3">
      <t>カコウヒ</t>
    </rPh>
    <rPh sb="3" eb="5">
      <t>ジッセキ</t>
    </rPh>
    <phoneticPr fontId="3"/>
  </si>
  <si>
    <t>原価差異</t>
    <rPh sb="0" eb="2">
      <t>ゲンカ</t>
    </rPh>
    <rPh sb="2" eb="4">
      <t>サイ</t>
    </rPh>
    <phoneticPr fontId="3"/>
  </si>
  <si>
    <t>販管費実績</t>
    <rPh sb="0" eb="3">
      <t>ハンカンヒ</t>
    </rPh>
    <rPh sb="3" eb="5">
      <t>ジッセキ</t>
    </rPh>
    <phoneticPr fontId="3"/>
  </si>
  <si>
    <t>VS変動販売費</t>
    <rPh sb="2" eb="4">
      <t>ヘンドウ</t>
    </rPh>
    <rPh sb="4" eb="7">
      <t>ハンバイヒ</t>
    </rPh>
    <phoneticPr fontId="3"/>
  </si>
  <si>
    <t>FS固定販売費</t>
    <rPh sb="2" eb="4">
      <t>コテイ</t>
    </rPh>
    <rPh sb="4" eb="7">
      <t>ハンバイヒ</t>
    </rPh>
    <phoneticPr fontId="3"/>
  </si>
  <si>
    <t>FA固定管理費</t>
    <rPh sb="2" eb="4">
      <t>コテイ</t>
    </rPh>
    <rPh sb="4" eb="7">
      <t>カンリヒ</t>
    </rPh>
    <phoneticPr fontId="3"/>
  </si>
  <si>
    <t>原料A AVE</t>
    <rPh sb="0" eb="2">
      <t>ゲンリョウ</t>
    </rPh>
    <phoneticPr fontId="3"/>
  </si>
  <si>
    <t>原料費</t>
    <rPh sb="0" eb="2">
      <t>ゲンリョウ</t>
    </rPh>
    <rPh sb="2" eb="3">
      <t>ヒ</t>
    </rPh>
    <phoneticPr fontId="3"/>
  </si>
  <si>
    <t>?</t>
    <phoneticPr fontId="3"/>
  </si>
  <si>
    <t>原料B FIFO</t>
    <rPh sb="0" eb="2">
      <t>ゲンリョウ</t>
    </rPh>
    <phoneticPr fontId="3"/>
  </si>
  <si>
    <t>原料C FIFO</t>
    <rPh sb="0" eb="2">
      <t>ゲンリョウ</t>
    </rPh>
    <phoneticPr fontId="3"/>
  </si>
  <si>
    <t>操業度差異</t>
    <rPh sb="0" eb="2">
      <t>ソウギョウ</t>
    </rPh>
    <rPh sb="2" eb="3">
      <t>ド</t>
    </rPh>
    <rPh sb="3" eb="5">
      <t>サイ</t>
    </rPh>
    <phoneticPr fontId="3"/>
  </si>
  <si>
    <t>変動費予算差異</t>
    <rPh sb="0" eb="2">
      <t>ヘンドウ</t>
    </rPh>
    <rPh sb="2" eb="3">
      <t>ヒ</t>
    </rPh>
    <rPh sb="3" eb="5">
      <t>ヨサン</t>
    </rPh>
    <rPh sb="5" eb="7">
      <t>サイ</t>
    </rPh>
    <phoneticPr fontId="3"/>
  </si>
  <si>
    <t>固定費予算差異</t>
    <rPh sb="0" eb="3">
      <t>コテイヒ</t>
    </rPh>
    <rPh sb="3" eb="5">
      <t>ヨサン</t>
    </rPh>
    <rPh sb="5" eb="7">
      <t>サイ</t>
    </rPh>
    <phoneticPr fontId="3"/>
  </si>
  <si>
    <t>問1 直接原価計算PL</t>
    <rPh sb="0" eb="1">
      <t>ト</t>
    </rPh>
    <rPh sb="3" eb="5">
      <t>チョクセツ</t>
    </rPh>
    <rPh sb="5" eb="7">
      <t>ゲンカ</t>
    </rPh>
    <rPh sb="7" eb="9">
      <t>ケイサン</t>
    </rPh>
    <phoneticPr fontId="3"/>
  </si>
  <si>
    <t>月末製品固定費</t>
    <rPh sb="0" eb="2">
      <t>ゲツマツ</t>
    </rPh>
    <rPh sb="2" eb="4">
      <t>セイヒン</t>
    </rPh>
    <rPh sb="4" eb="7">
      <t>コテイヒ</t>
    </rPh>
    <phoneticPr fontId="3"/>
  </si>
  <si>
    <t>月初製品固定費</t>
    <rPh sb="0" eb="2">
      <t>ゲッショ</t>
    </rPh>
    <rPh sb="2" eb="4">
      <t>セイヒン</t>
    </rPh>
    <rPh sb="4" eb="7">
      <t>コテイヒ</t>
    </rPh>
    <phoneticPr fontId="3"/>
  </si>
  <si>
    <t>全部原価計算⇔直接原価計算の営業利益の差は、月末・月初の製品/仕掛品に含まれる固定費の加減算で求める(＝固定費調整)。</t>
    <rPh sb="0" eb="2">
      <t>ゼンブ</t>
    </rPh>
    <rPh sb="2" eb="4">
      <t>ゲンカ</t>
    </rPh>
    <rPh sb="4" eb="6">
      <t>ケイサン</t>
    </rPh>
    <rPh sb="7" eb="9">
      <t>チョクセツ</t>
    </rPh>
    <rPh sb="9" eb="11">
      <t>ゲンカ</t>
    </rPh>
    <rPh sb="11" eb="13">
      <t>ケイサン</t>
    </rPh>
    <rPh sb="14" eb="16">
      <t>エイギョウ</t>
    </rPh>
    <rPh sb="16" eb="18">
      <t>リエキ</t>
    </rPh>
    <rPh sb="19" eb="20">
      <t>サ</t>
    </rPh>
    <rPh sb="22" eb="24">
      <t>ゲツマツ</t>
    </rPh>
    <rPh sb="25" eb="27">
      <t>ゲッショ</t>
    </rPh>
    <rPh sb="28" eb="30">
      <t>セイヒン</t>
    </rPh>
    <rPh sb="31" eb="33">
      <t>シカカリ</t>
    </rPh>
    <rPh sb="33" eb="34">
      <t>ヒン</t>
    </rPh>
    <rPh sb="35" eb="36">
      <t>フク</t>
    </rPh>
    <rPh sb="39" eb="41">
      <t>コテイ</t>
    </rPh>
    <rPh sb="41" eb="42">
      <t>ヒ</t>
    </rPh>
    <rPh sb="43" eb="45">
      <t>カゲン</t>
    </rPh>
    <rPh sb="45" eb="46">
      <t>サン</t>
    </rPh>
    <rPh sb="47" eb="48">
      <t>モト</t>
    </rPh>
    <rPh sb="52" eb="55">
      <t>コテイヒ</t>
    </rPh>
    <rPh sb="55" eb="57">
      <t>チョウセイ</t>
    </rPh>
    <phoneticPr fontId="3"/>
  </si>
  <si>
    <t>その説明のために、原価計算のあらゆる論点を詰め込んだ総合問題。普通にやったら1日かけても解けません。</t>
    <rPh sb="2" eb="4">
      <t>セツメイ</t>
    </rPh>
    <rPh sb="9" eb="11">
      <t>ゲンカ</t>
    </rPh>
    <rPh sb="11" eb="13">
      <t>ケイサン</t>
    </rPh>
    <rPh sb="18" eb="20">
      <t>ロンテン</t>
    </rPh>
    <rPh sb="21" eb="22">
      <t>ツ</t>
    </rPh>
    <rPh sb="23" eb="24">
      <t>コ</t>
    </rPh>
    <rPh sb="26" eb="28">
      <t>ソウゴウ</t>
    </rPh>
    <rPh sb="28" eb="30">
      <t>モンダイ</t>
    </rPh>
    <rPh sb="31" eb="33">
      <t>フツウ</t>
    </rPh>
    <rPh sb="39" eb="40">
      <t>ニチ</t>
    </rPh>
    <rPh sb="44" eb="45">
      <t>ト</t>
    </rPh>
    <phoneticPr fontId="3"/>
  </si>
  <si>
    <t>診断士｢Ⅳ｣の対策上は、最後の固定費調整の関数が、｢本当に月末・月初製品/仕掛品に含まれる｣固定費を参照している。視覚でそうイメージできれば十分です。</t>
    <rPh sb="0" eb="3">
      <t>シンダンシ</t>
    </rPh>
    <rPh sb="7" eb="9">
      <t>タイサク</t>
    </rPh>
    <rPh sb="9" eb="10">
      <t>ジョウ</t>
    </rPh>
    <rPh sb="12" eb="14">
      <t>サイゴ</t>
    </rPh>
    <rPh sb="15" eb="18">
      <t>コテイヒ</t>
    </rPh>
    <rPh sb="18" eb="20">
      <t>チョウセイ</t>
    </rPh>
    <rPh sb="21" eb="23">
      <t>カンスウ</t>
    </rPh>
    <rPh sb="26" eb="28">
      <t>ホントウ</t>
    </rPh>
    <rPh sb="29" eb="31">
      <t>ゲツマツ</t>
    </rPh>
    <rPh sb="32" eb="34">
      <t>ゲッショ</t>
    </rPh>
    <rPh sb="34" eb="36">
      <t>セイヒン</t>
    </rPh>
    <rPh sb="37" eb="39">
      <t>シカカリ</t>
    </rPh>
    <rPh sb="39" eb="40">
      <t>ヒン</t>
    </rPh>
    <rPh sb="41" eb="42">
      <t>フク</t>
    </rPh>
    <rPh sb="46" eb="48">
      <t>コテイ</t>
    </rPh>
    <rPh sb="48" eb="49">
      <t>ヒ</t>
    </rPh>
    <rPh sb="50" eb="52">
      <t>サンショウ</t>
    </rPh>
    <rPh sb="57" eb="59">
      <t>シカク</t>
    </rPh>
    <rPh sb="70" eb="72">
      <t>ジュウブン</t>
    </rPh>
    <phoneticPr fontId="3"/>
  </si>
  <si>
    <t>貢献利益</t>
    <rPh sb="0" eb="2">
      <t>コウケン</t>
    </rPh>
    <rPh sb="2" eb="4">
      <t>リエキ</t>
    </rPh>
    <phoneticPr fontId="3"/>
  </si>
  <si>
    <t>1. 固定加工費</t>
    <rPh sb="3" eb="5">
      <t>コテイ</t>
    </rPh>
    <rPh sb="5" eb="8">
      <t>カコウヒ</t>
    </rPh>
    <phoneticPr fontId="3"/>
  </si>
  <si>
    <t>2. 固定販売費</t>
    <rPh sb="3" eb="5">
      <t>コテイ</t>
    </rPh>
    <rPh sb="5" eb="8">
      <t>ハンバイヒ</t>
    </rPh>
    <phoneticPr fontId="3"/>
  </si>
  <si>
    <t>3. 一般管理費</t>
    <rPh sb="3" eb="5">
      <t>イッパン</t>
    </rPh>
    <rPh sb="5" eb="8">
      <t>カンリヒ</t>
    </rPh>
    <phoneticPr fontId="3"/>
  </si>
  <si>
    <t>直接材料費</t>
    <rPh sb="0" eb="2">
      <t>チョクセツ</t>
    </rPh>
    <rPh sb="2" eb="5">
      <t>ザイリョウヒ</t>
    </rPh>
    <phoneticPr fontId="3"/>
  </si>
  <si>
    <t>変動加工費</t>
    <rPh sb="0" eb="2">
      <t>ヘンドウ</t>
    </rPh>
    <rPh sb="2" eb="5">
      <t>カコウヒ</t>
    </rPh>
    <phoneticPr fontId="3"/>
  </si>
  <si>
    <t>固定加工費</t>
    <rPh sb="0" eb="2">
      <t>コテイ</t>
    </rPh>
    <rPh sb="2" eb="5">
      <t>カコウヒ</t>
    </rPh>
    <phoneticPr fontId="3"/>
  </si>
  <si>
    <t>仕掛品BOX　FIFO</t>
    <rPh sb="0" eb="2">
      <t>シカカリ</t>
    </rPh>
    <rPh sb="2" eb="3">
      <t>ヒン</t>
    </rPh>
    <phoneticPr fontId="3"/>
  </si>
  <si>
    <t>当月完成</t>
    <rPh sb="0" eb="2">
      <t>トウゲツ</t>
    </rPh>
    <rPh sb="2" eb="4">
      <t>カンセイ</t>
    </rPh>
    <phoneticPr fontId="3"/>
  </si>
  <si>
    <t>変動費</t>
    <rPh sb="0" eb="2">
      <t>ヘンドウ</t>
    </rPh>
    <rPh sb="2" eb="3">
      <t>ヒ</t>
    </rPh>
    <phoneticPr fontId="3"/>
  </si>
  <si>
    <t>固定費</t>
    <rPh sb="0" eb="3">
      <t>コテイヒ</t>
    </rPh>
    <phoneticPr fontId="3"/>
  </si>
  <si>
    <t>製品BOX FIFO</t>
    <rPh sb="0" eb="2">
      <t>セイヒン</t>
    </rPh>
    <phoneticPr fontId="3"/>
  </si>
  <si>
    <t>資料</t>
    <rPh sb="0" eb="2">
      <t>シリョウ</t>
    </rPh>
    <phoneticPr fontId="3"/>
  </si>
  <si>
    <t>製品販売価格</t>
    <rPh sb="0" eb="2">
      <t>セイヒン</t>
    </rPh>
    <rPh sb="2" eb="4">
      <t>ハンバイ</t>
    </rPh>
    <rPh sb="4" eb="6">
      <t>カカク</t>
    </rPh>
    <phoneticPr fontId="3"/>
  </si>
  <si>
    <t>変動販売費</t>
    <rPh sb="0" eb="2">
      <t>ヘンドウ</t>
    </rPh>
    <rPh sb="2" eb="5">
      <t>ハンバイヒ</t>
    </rPh>
    <phoneticPr fontId="3"/>
  </si>
  <si>
    <t>固定販売費</t>
    <rPh sb="0" eb="2">
      <t>コテイ</t>
    </rPh>
    <rPh sb="2" eb="5">
      <t>ハンバイヒ</t>
    </rPh>
    <phoneticPr fontId="3"/>
  </si>
  <si>
    <t>固定管理費</t>
    <rPh sb="0" eb="2">
      <t>コテイ</t>
    </rPh>
    <rPh sb="2" eb="5">
      <t>カンリヒ</t>
    </rPh>
    <phoneticPr fontId="3"/>
  </si>
  <si>
    <t>円/個</t>
    <rPh sb="0" eb="1">
      <t>エン</t>
    </rPh>
    <rPh sb="2" eb="3">
      <t>コ</t>
    </rPh>
    <phoneticPr fontId="3"/>
  </si>
  <si>
    <t>円/月</t>
    <rPh sb="0" eb="1">
      <t>エン</t>
    </rPh>
    <rPh sb="2" eb="3">
      <t>ツキ</t>
    </rPh>
    <phoneticPr fontId="3"/>
  </si>
  <si>
    <t>①全部原価計算のPL</t>
    <rPh sb="1" eb="3">
      <t>ゼンブ</t>
    </rPh>
    <rPh sb="3" eb="5">
      <t>ゲンカ</t>
    </rPh>
    <rPh sb="5" eb="7">
      <t>ケイサン</t>
    </rPh>
    <phoneticPr fontId="3"/>
  </si>
  <si>
    <t>②直接原価計算のPL</t>
    <rPh sb="1" eb="3">
      <t>チョクセツ</t>
    </rPh>
    <rPh sb="3" eb="5">
      <t>ゲンカ</t>
    </rPh>
    <rPh sb="5" eb="7">
      <t>ケイサン</t>
    </rPh>
    <phoneticPr fontId="3"/>
  </si>
  <si>
    <t xml:space="preserve"> </t>
    <phoneticPr fontId="3"/>
  </si>
  <si>
    <t>第1章 CASE4 全部原価計算制度と直接原価計算制度</t>
    <rPh sb="0" eb="1">
      <t>ダイ</t>
    </rPh>
    <rPh sb="2" eb="3">
      <t>ショウ</t>
    </rPh>
    <rPh sb="10" eb="12">
      <t>ゼンブ</t>
    </rPh>
    <rPh sb="12" eb="14">
      <t>ゲンカ</t>
    </rPh>
    <rPh sb="14" eb="16">
      <t>ケイサン</t>
    </rPh>
    <rPh sb="16" eb="18">
      <t>セイド</t>
    </rPh>
    <rPh sb="19" eb="21">
      <t>チョクセツ</t>
    </rPh>
    <rPh sb="21" eb="23">
      <t>ゲンカ</t>
    </rPh>
    <rPh sb="23" eb="25">
      <t>ケイサン</t>
    </rPh>
    <rPh sb="25" eb="27">
      <t>セイド</t>
    </rPh>
    <phoneticPr fontId="3"/>
  </si>
  <si>
    <t>これも直接原価計算の基本例題ですが、Case3で｢固定費調整(＝営業利益の違い)｣を学んだのに対し、Case4は仕掛計算を含む実際の計算手順を詳しく見ていきます。</t>
    <rPh sb="3" eb="5">
      <t>チョクセツ</t>
    </rPh>
    <rPh sb="5" eb="7">
      <t>ゲンカ</t>
    </rPh>
    <rPh sb="7" eb="9">
      <t>ケイサン</t>
    </rPh>
    <rPh sb="10" eb="12">
      <t>キホン</t>
    </rPh>
    <rPh sb="12" eb="14">
      <t>レイダイ</t>
    </rPh>
    <rPh sb="25" eb="28">
      <t>コテイヒ</t>
    </rPh>
    <rPh sb="28" eb="30">
      <t>チョウセイ</t>
    </rPh>
    <rPh sb="32" eb="34">
      <t>エイギョウ</t>
    </rPh>
    <rPh sb="34" eb="36">
      <t>リエキ</t>
    </rPh>
    <rPh sb="37" eb="38">
      <t>チガ</t>
    </rPh>
    <rPh sb="42" eb="43">
      <t>マナ</t>
    </rPh>
    <rPh sb="47" eb="48">
      <t>タイ</t>
    </rPh>
    <rPh sb="56" eb="58">
      <t>シカカリ</t>
    </rPh>
    <rPh sb="58" eb="60">
      <t>ケイサン</t>
    </rPh>
    <rPh sb="61" eb="62">
      <t>フク</t>
    </rPh>
    <rPh sb="63" eb="65">
      <t>ジッサイ</t>
    </rPh>
    <rPh sb="66" eb="68">
      <t>ケイサン</t>
    </rPh>
    <rPh sb="68" eb="70">
      <t>テジュン</t>
    </rPh>
    <rPh sb="71" eb="72">
      <t>クワ</t>
    </rPh>
    <rPh sb="74" eb="75">
      <t>ミ</t>
    </rPh>
    <phoneticPr fontId="3"/>
  </si>
  <si>
    <t>当例題では、1次｢財務｣の原価計算知識で、まず①全部原価計算PLまで作ります。次に同じデータでちょっと頭を捻り、②直接原価計算PLを頑張って作る。</t>
    <rPh sb="0" eb="1">
      <t>トウ</t>
    </rPh>
    <rPh sb="1" eb="3">
      <t>レイダイ</t>
    </rPh>
    <rPh sb="7" eb="8">
      <t>ジ</t>
    </rPh>
    <rPh sb="9" eb="11">
      <t>ザイム</t>
    </rPh>
    <rPh sb="13" eb="15">
      <t>ゲンカ</t>
    </rPh>
    <rPh sb="15" eb="17">
      <t>ケイサン</t>
    </rPh>
    <rPh sb="17" eb="19">
      <t>チシキ</t>
    </rPh>
    <rPh sb="24" eb="26">
      <t>ゼンブ</t>
    </rPh>
    <rPh sb="26" eb="28">
      <t>ゲンカ</t>
    </rPh>
    <rPh sb="28" eb="30">
      <t>ケイサン</t>
    </rPh>
    <rPh sb="34" eb="35">
      <t>ツク</t>
    </rPh>
    <rPh sb="39" eb="40">
      <t>ツギ</t>
    </rPh>
    <rPh sb="41" eb="42">
      <t>オナ</t>
    </rPh>
    <rPh sb="51" eb="52">
      <t>アタマ</t>
    </rPh>
    <rPh sb="53" eb="54">
      <t>ヒネ</t>
    </rPh>
    <rPh sb="57" eb="59">
      <t>チョクセツ</t>
    </rPh>
    <rPh sb="59" eb="61">
      <t>ゲンカ</t>
    </rPh>
    <rPh sb="61" eb="63">
      <t>ケイサン</t>
    </rPh>
    <rPh sb="66" eb="68">
      <t>ガンバ</t>
    </rPh>
    <rPh sb="70" eb="71">
      <t>ツク</t>
    </rPh>
    <phoneticPr fontId="3"/>
  </si>
  <si>
    <t>すると直接原価計算PLの作り方と特長が一目でわかる。ここが頻出論点｢CVP分析｣の応用問題でも慌てない｢点差力｣になります。</t>
    <rPh sb="3" eb="5">
      <t>チョクセツ</t>
    </rPh>
    <rPh sb="5" eb="7">
      <t>ゲンカ</t>
    </rPh>
    <rPh sb="7" eb="9">
      <t>ケイサン</t>
    </rPh>
    <rPh sb="12" eb="13">
      <t>ツク</t>
    </rPh>
    <rPh sb="14" eb="15">
      <t>カタ</t>
    </rPh>
    <rPh sb="16" eb="18">
      <t>トクチョウ</t>
    </rPh>
    <rPh sb="19" eb="21">
      <t>ヒトメ</t>
    </rPh>
    <rPh sb="29" eb="31">
      <t>ヒンシュツ</t>
    </rPh>
    <rPh sb="31" eb="33">
      <t>ロンテン</t>
    </rPh>
    <rPh sb="37" eb="39">
      <t>ブンセキ</t>
    </rPh>
    <rPh sb="41" eb="43">
      <t>オウヨウ</t>
    </rPh>
    <rPh sb="43" eb="45">
      <t>モンダイ</t>
    </rPh>
    <rPh sb="47" eb="48">
      <t>アワ</t>
    </rPh>
    <rPh sb="52" eb="54">
      <t>テンサ</t>
    </rPh>
    <rPh sb="54" eb="55">
      <t>リョク</t>
    </rPh>
    <phoneticPr fontId="3"/>
  </si>
  <si>
    <t>問題②：直接原価計算 ▲参考問題</t>
    <rPh sb="0" eb="2">
      <t>モンダイ</t>
    </rPh>
    <rPh sb="4" eb="6">
      <t>チョクセツ</t>
    </rPh>
    <rPh sb="6" eb="8">
      <t>ゲンカ</t>
    </rPh>
    <rPh sb="8" eb="10">
      <t>ケイサン</t>
    </rPh>
    <rPh sb="12" eb="14">
      <t>サンコウ</t>
    </rPh>
    <rPh sb="14" eb="16">
      <t>モンダイ</t>
    </rPh>
    <phoneticPr fontId="3"/>
  </si>
  <si>
    <t>直接材料費</t>
  </si>
  <si>
    <t>直接労務費</t>
  </si>
  <si>
    <t>直接労務費</t>
    <rPh sb="0" eb="2">
      <t>チョクセツ</t>
    </rPh>
    <rPh sb="2" eb="5">
      <t>ロウムヒ</t>
    </rPh>
    <phoneticPr fontId="3"/>
  </si>
  <si>
    <t>製造間接費</t>
    <rPh sb="0" eb="2">
      <t>セイゾウ</t>
    </rPh>
    <rPh sb="2" eb="4">
      <t>カンセツ</t>
    </rPh>
    <rPh sb="4" eb="5">
      <t>ヒ</t>
    </rPh>
    <phoneticPr fontId="3"/>
  </si>
  <si>
    <t xml:space="preserve">  変動費</t>
    <rPh sb="2" eb="4">
      <t>ヘンドウ</t>
    </rPh>
    <rPh sb="4" eb="5">
      <t>ヒ</t>
    </rPh>
    <phoneticPr fontId="3"/>
  </si>
  <si>
    <t xml:space="preserve">  固定費</t>
    <rPh sb="2" eb="5">
      <t>コテイヒ</t>
    </rPh>
    <phoneticPr fontId="3"/>
  </si>
  <si>
    <t>販売価格</t>
    <rPh sb="0" eb="2">
      <t>ハンバイ</t>
    </rPh>
    <rPh sb="2" eb="4">
      <t>カカク</t>
    </rPh>
    <phoneticPr fontId="3"/>
  </si>
  <si>
    <t>標準変動販売費</t>
    <rPh sb="0" eb="2">
      <t>ヒョウジュン</t>
    </rPh>
    <rPh sb="2" eb="4">
      <t>ヘンドウ</t>
    </rPh>
    <rPh sb="4" eb="7">
      <t>ハンバイヒ</t>
    </rPh>
    <phoneticPr fontId="3"/>
  </si>
  <si>
    <t>数量</t>
    <rPh sb="0" eb="2">
      <t>スウリョウ</t>
    </rPh>
    <phoneticPr fontId="3"/>
  </si>
  <si>
    <t>標準</t>
    <rPh sb="0" eb="2">
      <t>ヒョウジュン</t>
    </rPh>
    <phoneticPr fontId="3"/>
  </si>
  <si>
    <t>実際</t>
    <rPh sb="0" eb="2">
      <t>ジッサイ</t>
    </rPh>
    <phoneticPr fontId="3"/>
  </si>
  <si>
    <t>数量差異</t>
    <rPh sb="0" eb="2">
      <t>スウリョウ</t>
    </rPh>
    <rPh sb="2" eb="4">
      <t>サイ</t>
    </rPh>
    <phoneticPr fontId="3"/>
  </si>
  <si>
    <t>価格差異</t>
    <rPh sb="0" eb="2">
      <t>カカク</t>
    </rPh>
    <rPh sb="2" eb="4">
      <t>サイ</t>
    </rPh>
    <phoneticPr fontId="3"/>
  </si>
  <si>
    <t>標準発生額</t>
    <rPh sb="0" eb="2">
      <t>ヒョウジュン</t>
    </rPh>
    <rPh sb="2" eb="4">
      <t>ハッセイ</t>
    </rPh>
    <rPh sb="4" eb="5">
      <t>ガク</t>
    </rPh>
    <phoneticPr fontId="3"/>
  </si>
  <si>
    <t>実際発生額</t>
    <rPh sb="0" eb="2">
      <t>ジッサイ</t>
    </rPh>
    <rPh sb="2" eb="4">
      <t>ハッセイ</t>
    </rPh>
    <rPh sb="4" eb="5">
      <t>ガク</t>
    </rPh>
    <phoneticPr fontId="3"/>
  </si>
  <si>
    <t>直接材料費差異</t>
    <rPh sb="0" eb="2">
      <t>チョクセツ</t>
    </rPh>
    <rPh sb="2" eb="5">
      <t>ザイリョウヒ</t>
    </rPh>
    <rPh sb="5" eb="7">
      <t>サイ</t>
    </rPh>
    <phoneticPr fontId="3"/>
  </si>
  <si>
    <t>直接労務費差異</t>
    <rPh sb="0" eb="2">
      <t>チョクセツ</t>
    </rPh>
    <rPh sb="2" eb="5">
      <t>ロウムヒ</t>
    </rPh>
    <rPh sb="5" eb="7">
      <t>サイ</t>
    </rPh>
    <phoneticPr fontId="3"/>
  </si>
  <si>
    <t>時間</t>
    <rPh sb="0" eb="2">
      <t>ジカン</t>
    </rPh>
    <phoneticPr fontId="3"/>
  </si>
  <si>
    <t>賃率差異</t>
    <rPh sb="0" eb="2">
      <t>チンリツ</t>
    </rPh>
    <rPh sb="2" eb="4">
      <t>サイ</t>
    </rPh>
    <phoneticPr fontId="3"/>
  </si>
  <si>
    <t>時間差異</t>
    <rPh sb="0" eb="2">
      <t>ジカン</t>
    </rPh>
    <rPh sb="2" eb="4">
      <t>サイ</t>
    </rPh>
    <phoneticPr fontId="3"/>
  </si>
  <si>
    <t>変動製造間接費</t>
    <rPh sb="0" eb="2">
      <t>ヘンドウ</t>
    </rPh>
    <rPh sb="2" eb="4">
      <t>セイゾウ</t>
    </rPh>
    <rPh sb="4" eb="6">
      <t>カンセツ</t>
    </rPh>
    <rPh sb="6" eb="7">
      <t>ヒ</t>
    </rPh>
    <phoneticPr fontId="3"/>
  </si>
  <si>
    <t>固定製造間接費</t>
    <rPh sb="0" eb="2">
      <t>コテイ</t>
    </rPh>
    <rPh sb="2" eb="4">
      <t>セイゾウ</t>
    </rPh>
    <rPh sb="4" eb="6">
      <t>カンセツ</t>
    </rPh>
    <rPh sb="6" eb="7">
      <t>ヒ</t>
    </rPh>
    <phoneticPr fontId="3"/>
  </si>
  <si>
    <t>?</t>
    <phoneticPr fontId="3"/>
  </si>
  <si>
    <t>?</t>
    <phoneticPr fontId="3"/>
  </si>
  <si>
    <t>標準貢献利益</t>
    <rPh sb="0" eb="2">
      <t>ヒョウジュン</t>
    </rPh>
    <rPh sb="2" eb="4">
      <t>コウケン</t>
    </rPh>
    <rPh sb="4" eb="6">
      <t>リエキ</t>
    </rPh>
    <phoneticPr fontId="3"/>
  </si>
  <si>
    <t>当月実際発生額</t>
    <rPh sb="0" eb="2">
      <t>トウゲツ</t>
    </rPh>
    <rPh sb="2" eb="4">
      <t>ジッサイ</t>
    </rPh>
    <rPh sb="4" eb="6">
      <t>ハッセイ</t>
    </rPh>
    <rPh sb="6" eb="7">
      <t>ガク</t>
    </rPh>
    <phoneticPr fontId="3"/>
  </si>
  <si>
    <t>変動販管費</t>
    <rPh sb="0" eb="2">
      <t>ヘンドウ</t>
    </rPh>
    <rPh sb="2" eb="5">
      <t>ハンカンヒ</t>
    </rPh>
    <phoneticPr fontId="3"/>
  </si>
  <si>
    <t>固定販管費</t>
    <rPh sb="0" eb="2">
      <t>コテイ</t>
    </rPh>
    <rPh sb="2" eb="5">
      <t>ハンカンヒ</t>
    </rPh>
    <phoneticPr fontId="3"/>
  </si>
  <si>
    <t>問題③：直接標準原価計算</t>
    <rPh sb="0" eb="2">
      <t>モンダイ</t>
    </rPh>
    <rPh sb="4" eb="6">
      <t>チョクセツ</t>
    </rPh>
    <rPh sb="6" eb="8">
      <t>ヒョウジュン</t>
    </rPh>
    <rPh sb="8" eb="10">
      <t>ゲンカ</t>
    </rPh>
    <rPh sb="10" eb="12">
      <t>ケイサン</t>
    </rPh>
    <phoneticPr fontId="3"/>
  </si>
  <si>
    <t>製造間接費の月間予算データ</t>
    <rPh sb="0" eb="2">
      <t>セイゾウ</t>
    </rPh>
    <rPh sb="2" eb="4">
      <t>カンセツ</t>
    </rPh>
    <rPh sb="4" eb="5">
      <t>ヒ</t>
    </rPh>
    <rPh sb="6" eb="8">
      <t>ゲッカン</t>
    </rPh>
    <rPh sb="8" eb="10">
      <t>ヨサン</t>
    </rPh>
    <phoneticPr fontId="3"/>
  </si>
  <si>
    <t>基準操業度</t>
    <rPh sb="0" eb="2">
      <t>キジュン</t>
    </rPh>
    <rPh sb="2" eb="4">
      <t>ソウギョウ</t>
    </rPh>
    <rPh sb="4" eb="5">
      <t>ド</t>
    </rPh>
    <phoneticPr fontId="3"/>
  </si>
  <si>
    <t>変動製造間接費予算</t>
    <rPh sb="0" eb="2">
      <t>ヘンドウ</t>
    </rPh>
    <rPh sb="2" eb="4">
      <t>セイゾウ</t>
    </rPh>
    <rPh sb="4" eb="6">
      <t>カンセツ</t>
    </rPh>
    <rPh sb="6" eb="7">
      <t>ヒ</t>
    </rPh>
    <rPh sb="7" eb="9">
      <t>ヨサン</t>
    </rPh>
    <phoneticPr fontId="3"/>
  </si>
  <si>
    <t>固定製造間接費予算</t>
    <rPh sb="0" eb="2">
      <t>コテイ</t>
    </rPh>
    <rPh sb="2" eb="4">
      <t>セイゾウ</t>
    </rPh>
    <rPh sb="4" eb="6">
      <t>カンセツ</t>
    </rPh>
    <rPh sb="6" eb="7">
      <t>ヒ</t>
    </rPh>
    <rPh sb="7" eb="9">
      <t>ヨサン</t>
    </rPh>
    <phoneticPr fontId="3"/>
  </si>
  <si>
    <t>h</t>
    <phoneticPr fontId="3"/>
  </si>
  <si>
    <t>円</t>
    <rPh sb="0" eb="1">
      <t>エン</t>
    </rPh>
    <phoneticPr fontId="3"/>
  </si>
  <si>
    <t>予算差異</t>
    <rPh sb="0" eb="2">
      <t>ヨサン</t>
    </rPh>
    <rPh sb="2" eb="4">
      <t>サイ</t>
    </rPh>
    <phoneticPr fontId="3"/>
  </si>
  <si>
    <t>参考：変動製造間接費予算差異分析 ※｢Ⅳ｣で問われないので対策不要</t>
    <rPh sb="0" eb="2">
      <t>サンコウ</t>
    </rPh>
    <rPh sb="3" eb="5">
      <t>ヘンドウ</t>
    </rPh>
    <rPh sb="5" eb="7">
      <t>セイゾウ</t>
    </rPh>
    <rPh sb="7" eb="9">
      <t>カンセツ</t>
    </rPh>
    <rPh sb="9" eb="10">
      <t>ヒ</t>
    </rPh>
    <rPh sb="10" eb="12">
      <t>ヨサン</t>
    </rPh>
    <rPh sb="12" eb="14">
      <t>サイ</t>
    </rPh>
    <rPh sb="14" eb="16">
      <t>ブンセキ</t>
    </rPh>
    <rPh sb="22" eb="23">
      <t>ト</t>
    </rPh>
    <rPh sb="29" eb="31">
      <t>タイサク</t>
    </rPh>
    <rPh sb="31" eb="33">
      <t>フヨウ</t>
    </rPh>
    <phoneticPr fontId="3"/>
  </si>
  <si>
    <t>基準</t>
    <rPh sb="0" eb="2">
      <t>キジュン</t>
    </rPh>
    <phoneticPr fontId="3"/>
  </si>
  <si>
    <t>標準</t>
    <rPh sb="0" eb="2">
      <t>ヒョウジュン</t>
    </rPh>
    <phoneticPr fontId="3"/>
  </si>
  <si>
    <t>実際</t>
    <rPh sb="0" eb="2">
      <t>ジッサイ</t>
    </rPh>
    <phoneticPr fontId="3"/>
  </si>
  <si>
    <t>予算</t>
    <rPh sb="0" eb="2">
      <t>ヨサン</t>
    </rPh>
    <phoneticPr fontId="3"/>
  </si>
  <si>
    <t>実際発生額</t>
    <rPh sb="0" eb="2">
      <t>ジッサイ</t>
    </rPh>
    <rPh sb="2" eb="4">
      <t>ハッセイ</t>
    </rPh>
    <rPh sb="4" eb="5">
      <t>ガク</t>
    </rPh>
    <phoneticPr fontId="3"/>
  </si>
  <si>
    <t>能率差異</t>
    <rPh sb="0" eb="2">
      <t>ノウリツ</t>
    </rPh>
    <rPh sb="2" eb="4">
      <t>サイ</t>
    </rPh>
    <phoneticPr fontId="3"/>
  </si>
  <si>
    <t xml:space="preserve">          CASE5 固定費調整</t>
    <rPh sb="16" eb="19">
      <t>コテイヒ</t>
    </rPh>
    <rPh sb="19" eb="21">
      <t>チョウセイ</t>
    </rPh>
    <phoneticPr fontId="3"/>
  </si>
  <si>
    <r>
      <t xml:space="preserve">CASE4 例題：直接原価計算 </t>
    </r>
    <r>
      <rPr>
        <b/>
        <sz val="10"/>
        <color rgb="FFFF0000"/>
        <rFont val="游ゴシック"/>
        <family val="3"/>
        <charset val="128"/>
        <scheme val="minor"/>
      </rPr>
      <t>★良問</t>
    </r>
    <rPh sb="6" eb="8">
      <t>レイダイ</t>
    </rPh>
    <rPh sb="9" eb="11">
      <t>チョクセツ</t>
    </rPh>
    <rPh sb="11" eb="13">
      <t>ゲンカ</t>
    </rPh>
    <rPh sb="13" eb="15">
      <t>ケイサン</t>
    </rPh>
    <rPh sb="17" eb="19">
      <t>リョウモン</t>
    </rPh>
    <phoneticPr fontId="3"/>
  </si>
  <si>
    <t>CASE5 例題：固定費調整</t>
    <rPh sb="6" eb="8">
      <t>レイダイ</t>
    </rPh>
    <rPh sb="9" eb="12">
      <t>コテイヒ</t>
    </rPh>
    <rPh sb="12" eb="14">
      <t>チョウセイ</t>
    </rPh>
    <phoneticPr fontId="3"/>
  </si>
  <si>
    <t>直接原価計算の営業利益</t>
    <rPh sb="0" eb="2">
      <t>チョクセツ</t>
    </rPh>
    <rPh sb="2" eb="4">
      <t>ゲンカ</t>
    </rPh>
    <rPh sb="4" eb="6">
      <t>ケイサン</t>
    </rPh>
    <rPh sb="7" eb="9">
      <t>エイギョウ</t>
    </rPh>
    <rPh sb="9" eb="11">
      <t>リエキ</t>
    </rPh>
    <phoneticPr fontId="3"/>
  </si>
  <si>
    <t>固定費調整</t>
    <rPh sb="0" eb="3">
      <t>コテイヒ</t>
    </rPh>
    <rPh sb="3" eb="5">
      <t>チョウセイ</t>
    </rPh>
    <phoneticPr fontId="3"/>
  </si>
  <si>
    <t>+)加算項目</t>
    <rPh sb="2" eb="4">
      <t>カサン</t>
    </rPh>
    <rPh sb="4" eb="6">
      <t>コウモク</t>
    </rPh>
    <phoneticPr fontId="3"/>
  </si>
  <si>
    <t>-)減算項目</t>
    <rPh sb="2" eb="4">
      <t>ゲンサン</t>
    </rPh>
    <rPh sb="4" eb="6">
      <t>コウモク</t>
    </rPh>
    <phoneticPr fontId="3"/>
  </si>
  <si>
    <t xml:space="preserve">  月末仕掛品に含まれる固定製造原価</t>
    <rPh sb="2" eb="4">
      <t>ゲツマツ</t>
    </rPh>
    <rPh sb="4" eb="6">
      <t>シカカリ</t>
    </rPh>
    <rPh sb="6" eb="7">
      <t>ヒン</t>
    </rPh>
    <rPh sb="8" eb="9">
      <t>フク</t>
    </rPh>
    <rPh sb="12" eb="14">
      <t>コテイ</t>
    </rPh>
    <rPh sb="14" eb="16">
      <t>セイゾウ</t>
    </rPh>
    <rPh sb="16" eb="18">
      <t>ゲンカ</t>
    </rPh>
    <phoneticPr fontId="3"/>
  </si>
  <si>
    <t xml:space="preserve">  月末製品に含まれる固定製造原価</t>
    <rPh sb="2" eb="4">
      <t>ゲツマツ</t>
    </rPh>
    <rPh sb="4" eb="6">
      <t>セイヒン</t>
    </rPh>
    <rPh sb="7" eb="8">
      <t>フク</t>
    </rPh>
    <rPh sb="11" eb="13">
      <t>コテイ</t>
    </rPh>
    <rPh sb="13" eb="15">
      <t>セイゾウ</t>
    </rPh>
    <rPh sb="15" eb="17">
      <t>ゲンカ</t>
    </rPh>
    <phoneticPr fontId="3"/>
  </si>
  <si>
    <t xml:space="preserve">  月初製品に含まれる固定製造原価</t>
    <rPh sb="2" eb="4">
      <t>ゲッショ</t>
    </rPh>
    <rPh sb="4" eb="6">
      <t>セイヒン</t>
    </rPh>
    <rPh sb="7" eb="8">
      <t>フク</t>
    </rPh>
    <rPh sb="11" eb="13">
      <t>コテイ</t>
    </rPh>
    <rPh sb="13" eb="15">
      <t>セイゾウ</t>
    </rPh>
    <rPh sb="15" eb="17">
      <t>ゲンカ</t>
    </rPh>
    <phoneticPr fontId="3"/>
  </si>
  <si>
    <t xml:space="preserve">  月初仕掛品に含まれる固定製造原価</t>
    <rPh sb="2" eb="4">
      <t>ゲッショ</t>
    </rPh>
    <rPh sb="4" eb="6">
      <t>シカカリ</t>
    </rPh>
    <rPh sb="6" eb="7">
      <t>ヒン</t>
    </rPh>
    <rPh sb="8" eb="9">
      <t>フク</t>
    </rPh>
    <rPh sb="12" eb="14">
      <t>コテイ</t>
    </rPh>
    <rPh sb="14" eb="16">
      <t>セイゾウ</t>
    </rPh>
    <rPh sb="16" eb="18">
      <t>ゲンカ</t>
    </rPh>
    <phoneticPr fontId="3"/>
  </si>
  <si>
    <t>全部原価計算の営業利益</t>
    <rPh sb="0" eb="2">
      <t>ゼンブ</t>
    </rPh>
    <rPh sb="2" eb="4">
      <t>ゲンカ</t>
    </rPh>
    <rPh sb="4" eb="6">
      <t>ケイサン</t>
    </rPh>
    <rPh sb="7" eb="9">
      <t>エイギョウ</t>
    </rPh>
    <rPh sb="9" eb="11">
      <t>リエキ</t>
    </rPh>
    <phoneticPr fontId="3"/>
  </si>
  <si>
    <t>・・①</t>
    <phoneticPr fontId="3"/>
  </si>
  <si>
    <t>・・②</t>
    <phoneticPr fontId="3"/>
  </si>
  <si>
    <t>・・①と一致</t>
    <rPh sb="4" eb="6">
      <t>イッチ</t>
    </rPh>
    <phoneticPr fontId="3"/>
  </si>
  <si>
    <t>・・②</t>
    <phoneticPr fontId="3"/>
  </si>
  <si>
    <t>エクセルを使うと、固定費調整で何を加減算するかは一目でわかる。</t>
    <rPh sb="5" eb="6">
      <t>ツカ</t>
    </rPh>
    <rPh sb="9" eb="12">
      <t>コテイヒ</t>
    </rPh>
    <rPh sb="12" eb="14">
      <t>チョウセイ</t>
    </rPh>
    <rPh sb="15" eb="16">
      <t>ナニ</t>
    </rPh>
    <rPh sb="17" eb="19">
      <t>カゲン</t>
    </rPh>
    <rPh sb="19" eb="20">
      <t>サン</t>
    </rPh>
    <rPh sb="24" eb="26">
      <t>ヒトメ</t>
    </rPh>
    <phoneticPr fontId="3"/>
  </si>
  <si>
    <t>簿記の場合は解き方の暗記で良いが、｢Ⅳ｣でもし出る場合は結果より理屈が問われるので、テキストに戻って知識を押さえる。</t>
    <rPh sb="0" eb="2">
      <t>ボキ</t>
    </rPh>
    <rPh sb="3" eb="5">
      <t>バアイ</t>
    </rPh>
    <rPh sb="6" eb="7">
      <t>ト</t>
    </rPh>
    <rPh sb="8" eb="9">
      <t>カタ</t>
    </rPh>
    <rPh sb="10" eb="12">
      <t>アンキ</t>
    </rPh>
    <rPh sb="13" eb="14">
      <t>ヨ</t>
    </rPh>
    <rPh sb="23" eb="24">
      <t>デ</t>
    </rPh>
    <rPh sb="25" eb="27">
      <t>バアイ</t>
    </rPh>
    <rPh sb="28" eb="30">
      <t>ケッカ</t>
    </rPh>
    <rPh sb="32" eb="34">
      <t>リクツ</t>
    </rPh>
    <rPh sb="35" eb="36">
      <t>ト</t>
    </rPh>
    <rPh sb="47" eb="48">
      <t>モド</t>
    </rPh>
    <rPh sb="50" eb="52">
      <t>チシキ</t>
    </rPh>
    <rPh sb="53" eb="54">
      <t>オ</t>
    </rPh>
    <phoneticPr fontId="3"/>
  </si>
  <si>
    <t>円 ←ダミーデータ(今回は実額のみ表示するので、使わない)</t>
    <rPh sb="0" eb="1">
      <t>エン</t>
    </rPh>
    <rPh sb="10" eb="12">
      <t>コンカイ</t>
    </rPh>
    <rPh sb="13" eb="15">
      <t>ジツガク</t>
    </rPh>
    <rPh sb="17" eb="19">
      <t>ヒョウジ</t>
    </rPh>
    <rPh sb="24" eb="25">
      <t>ツカ</t>
    </rPh>
    <phoneticPr fontId="3"/>
  </si>
  <si>
    <t>第1章 CASE6 直接標準原価計算 参考</t>
    <rPh sb="0" eb="1">
      <t>ダイ</t>
    </rPh>
    <rPh sb="2" eb="3">
      <t>ショウ</t>
    </rPh>
    <rPh sb="10" eb="12">
      <t>チョクセツ</t>
    </rPh>
    <rPh sb="12" eb="14">
      <t>ヒョウジュン</t>
    </rPh>
    <rPh sb="14" eb="16">
      <t>ゲンカ</t>
    </rPh>
    <rPh sb="16" eb="18">
      <t>ケイサン</t>
    </rPh>
    <rPh sb="19" eb="21">
      <t>サンコウ</t>
    </rPh>
    <phoneticPr fontId="3"/>
  </si>
  <si>
    <t>合計</t>
    <rPh sb="0" eb="2">
      <t>ゴウケイ</t>
    </rPh>
    <phoneticPr fontId="3"/>
  </si>
  <si>
    <t xml:space="preserve">  1. 月初製品棚卸高</t>
    <rPh sb="5" eb="7">
      <t>ゲッショ</t>
    </rPh>
    <rPh sb="7" eb="9">
      <t>セイヒン</t>
    </rPh>
    <rPh sb="9" eb="11">
      <t>タナオロシ</t>
    </rPh>
    <rPh sb="11" eb="12">
      <t>ダカ</t>
    </rPh>
    <phoneticPr fontId="3"/>
  </si>
  <si>
    <t xml:space="preserve">  2. 当月製品製造原価</t>
    <rPh sb="5" eb="7">
      <t>トウゲツ</t>
    </rPh>
    <rPh sb="7" eb="9">
      <t>セイヒン</t>
    </rPh>
    <rPh sb="9" eb="11">
      <t>セイゾウ</t>
    </rPh>
    <rPh sb="11" eb="13">
      <t>ゲンカ</t>
    </rPh>
    <phoneticPr fontId="3"/>
  </si>
  <si>
    <t xml:space="preserve">  3. 月末製品棚卸高</t>
    <rPh sb="5" eb="7">
      <t>ゲツマツ</t>
    </rPh>
    <rPh sb="7" eb="9">
      <t>セイヒン</t>
    </rPh>
    <rPh sb="9" eb="11">
      <t>タナオロシ</t>
    </rPh>
    <rPh sb="11" eb="12">
      <t>ダカ</t>
    </rPh>
    <phoneticPr fontId="3"/>
  </si>
  <si>
    <t>営業利益</t>
    <rPh sb="0" eb="2">
      <t>エイギョウ</t>
    </rPh>
    <rPh sb="2" eb="4">
      <t>リエキ</t>
    </rPh>
    <phoneticPr fontId="3"/>
  </si>
  <si>
    <t>Ⅱ 標準売上原価</t>
    <rPh sb="2" eb="4">
      <t>ヒョウジュン</t>
    </rPh>
    <rPh sb="4" eb="6">
      <t>ウリアゲ</t>
    </rPh>
    <rPh sb="6" eb="8">
      <t>ゲンカ</t>
    </rPh>
    <phoneticPr fontId="3"/>
  </si>
  <si>
    <t>標準売上総利益</t>
    <rPh sb="0" eb="2">
      <t>ヒョウジュン</t>
    </rPh>
    <rPh sb="2" eb="4">
      <t>ウリアゲ</t>
    </rPh>
    <rPh sb="4" eb="7">
      <t>ソウリエキ</t>
    </rPh>
    <phoneticPr fontId="3"/>
  </si>
  <si>
    <t>Ⅲ 標準原価差異</t>
    <rPh sb="2" eb="4">
      <t>ヒョウジュン</t>
    </rPh>
    <rPh sb="4" eb="6">
      <t>ゲンカ</t>
    </rPh>
    <rPh sb="6" eb="8">
      <t>サイ</t>
    </rPh>
    <phoneticPr fontId="3"/>
  </si>
  <si>
    <t xml:space="preserve">  7.操業度差異</t>
    <rPh sb="4" eb="6">
      <t>ソウギョウ</t>
    </rPh>
    <rPh sb="6" eb="7">
      <t>ド</t>
    </rPh>
    <rPh sb="7" eb="9">
      <t>サイ</t>
    </rPh>
    <phoneticPr fontId="3"/>
  </si>
  <si>
    <t>実際売上総利益</t>
    <rPh sb="0" eb="2">
      <t>ジッサイ</t>
    </rPh>
    <rPh sb="2" eb="4">
      <t>ウリアゲ</t>
    </rPh>
    <rPh sb="4" eb="7">
      <t>ソウリエキ</t>
    </rPh>
    <phoneticPr fontId="3"/>
  </si>
  <si>
    <t>Ⅳ 販管費</t>
    <rPh sb="2" eb="5">
      <t>ハンカンヒ</t>
    </rPh>
    <phoneticPr fontId="3"/>
  </si>
  <si>
    <t>①全部標準原価計算のPL</t>
    <rPh sb="1" eb="3">
      <t>ゼンブ</t>
    </rPh>
    <rPh sb="3" eb="5">
      <t>ヒョウジュン</t>
    </rPh>
    <rPh sb="5" eb="7">
      <t>ゲンカ</t>
    </rPh>
    <rPh sb="7" eb="9">
      <t>ケイサン</t>
    </rPh>
    <phoneticPr fontId="3"/>
  </si>
  <si>
    <t>②直接標準原価計算のPL</t>
    <rPh sb="1" eb="3">
      <t>チョクセツ</t>
    </rPh>
    <rPh sb="3" eb="5">
      <t>ヒョウジュン</t>
    </rPh>
    <rPh sb="5" eb="7">
      <t>ゲンカ</t>
    </rPh>
    <rPh sb="7" eb="9">
      <t>ケイサン</t>
    </rPh>
    <phoneticPr fontId="3"/>
  </si>
  <si>
    <t xml:space="preserve">(例題) </t>
    <phoneticPr fontId="3"/>
  </si>
  <si>
    <t>(例題) 問②</t>
    <phoneticPr fontId="3"/>
  </si>
  <si>
    <t>(例題) 問③</t>
    <rPh sb="5" eb="6">
      <t>トイ</t>
    </rPh>
    <phoneticPr fontId="3"/>
  </si>
  <si>
    <t>標準</t>
    <rPh sb="0" eb="2">
      <t>ヒョウジュン</t>
    </rPh>
    <phoneticPr fontId="3"/>
  </si>
  <si>
    <t>実際</t>
    <rPh sb="0" eb="2">
      <t>ジッサイ</t>
    </rPh>
    <phoneticPr fontId="3"/>
  </si>
  <si>
    <t>基準</t>
    <rPh sb="0" eb="2">
      <t>キジュン</t>
    </rPh>
    <phoneticPr fontId="3"/>
  </si>
  <si>
    <t>操業度差異</t>
    <rPh sb="0" eb="2">
      <t>ソウギョウ</t>
    </rPh>
    <rPh sb="2" eb="3">
      <t>ド</t>
    </rPh>
    <rPh sb="3" eb="5">
      <t>サイ</t>
    </rPh>
    <phoneticPr fontId="3"/>
  </si>
  <si>
    <t>能率差異</t>
    <rPh sb="0" eb="2">
      <t>ノウリツ</t>
    </rPh>
    <rPh sb="2" eb="4">
      <t>サイ</t>
    </rPh>
    <phoneticPr fontId="3"/>
  </si>
  <si>
    <t>予算差異</t>
    <rPh sb="0" eb="2">
      <t>ヨサン</t>
    </rPh>
    <rPh sb="2" eb="4">
      <t>サイ</t>
    </rPh>
    <phoneticPr fontId="3"/>
  </si>
  <si>
    <t>実際発生額</t>
    <rPh sb="0" eb="2">
      <t>ジッサイ</t>
    </rPh>
    <rPh sb="2" eb="4">
      <t>ハッセイ</t>
    </rPh>
    <rPh sb="4" eb="5">
      <t>ガク</t>
    </rPh>
    <phoneticPr fontId="3"/>
  </si>
  <si>
    <t>・・①</t>
    <phoneticPr fontId="3"/>
  </si>
  <si>
    <t>・・②</t>
    <phoneticPr fontId="3"/>
  </si>
  <si>
    <t>・・③＝①と一致</t>
    <rPh sb="6" eb="8">
      <t>イッチ</t>
    </rPh>
    <phoneticPr fontId="3"/>
  </si>
  <si>
    <t>直接標準原価計算のPL</t>
    <rPh sb="0" eb="2">
      <t>チョクセツ</t>
    </rPh>
    <rPh sb="2" eb="4">
      <t>ヒョウジュン</t>
    </rPh>
    <rPh sb="4" eb="6">
      <t>ゲンカ</t>
    </rPh>
    <rPh sb="6" eb="8">
      <t>ケイサン</t>
    </rPh>
    <phoneticPr fontId="3"/>
  </si>
  <si>
    <t>例題：直接標準原価計算  難しすぎるので参考問題</t>
    <rPh sb="0" eb="2">
      <t>レイダイ</t>
    </rPh>
    <rPh sb="3" eb="5">
      <t>チョクセツ</t>
    </rPh>
    <rPh sb="5" eb="7">
      <t>ヒョウジュン</t>
    </rPh>
    <rPh sb="7" eb="9">
      <t>ゲンカ</t>
    </rPh>
    <rPh sb="9" eb="11">
      <t>ケイサン</t>
    </rPh>
    <rPh sb="13" eb="14">
      <t>ムズカ</t>
    </rPh>
    <rPh sb="20" eb="22">
      <t>サンコウ</t>
    </rPh>
    <rPh sb="22" eb="24">
      <t>モンダイ</t>
    </rPh>
    <phoneticPr fontId="3"/>
  </si>
  <si>
    <t>Case6⇔Case4例題を見比べると、直接原価計算の問題では解答手順は同じでも、条件の与え方次第でいくらでも難しく作れることがわかります。</t>
    <rPh sb="11" eb="13">
      <t>レイダイ</t>
    </rPh>
    <rPh sb="14" eb="16">
      <t>ミクラ</t>
    </rPh>
    <rPh sb="20" eb="22">
      <t>チョクセツ</t>
    </rPh>
    <rPh sb="22" eb="24">
      <t>ゲンカ</t>
    </rPh>
    <rPh sb="24" eb="26">
      <t>ケイサン</t>
    </rPh>
    <rPh sb="27" eb="29">
      <t>モンダイ</t>
    </rPh>
    <rPh sb="31" eb="33">
      <t>カイトウ</t>
    </rPh>
    <rPh sb="33" eb="35">
      <t>テジュン</t>
    </rPh>
    <rPh sb="36" eb="37">
      <t>オナ</t>
    </rPh>
    <rPh sb="41" eb="43">
      <t>ジョウケン</t>
    </rPh>
    <rPh sb="44" eb="45">
      <t>アタ</t>
    </rPh>
    <rPh sb="46" eb="47">
      <t>カタ</t>
    </rPh>
    <rPh sb="47" eb="49">
      <t>シダイ</t>
    </rPh>
    <rPh sb="55" eb="56">
      <t>ムズカ</t>
    </rPh>
    <rPh sb="58" eb="59">
      <t>ツク</t>
    </rPh>
    <phoneticPr fontId="3"/>
  </si>
  <si>
    <t>当例題(直接標準原価計算)では、｢直接原価計算｣｢標準原価計算｣の2論点を同時に聞いており、実際にこう出題されるのではなく、最大限に難しく作ったサンプルとして眺めておきます。</t>
    <rPh sb="0" eb="1">
      <t>トウ</t>
    </rPh>
    <rPh sb="1" eb="3">
      <t>レイダイ</t>
    </rPh>
    <rPh sb="4" eb="6">
      <t>チョクセツ</t>
    </rPh>
    <rPh sb="6" eb="8">
      <t>ヒョウジュン</t>
    </rPh>
    <rPh sb="8" eb="10">
      <t>ゲンカ</t>
    </rPh>
    <rPh sb="10" eb="12">
      <t>ケイサン</t>
    </rPh>
    <rPh sb="17" eb="19">
      <t>チョクセツ</t>
    </rPh>
    <rPh sb="19" eb="21">
      <t>ゲンカ</t>
    </rPh>
    <rPh sb="21" eb="23">
      <t>ケイサン</t>
    </rPh>
    <rPh sb="25" eb="27">
      <t>ヒョウジュン</t>
    </rPh>
    <rPh sb="27" eb="29">
      <t>ゲンカ</t>
    </rPh>
    <rPh sb="29" eb="31">
      <t>ケイサン</t>
    </rPh>
    <rPh sb="34" eb="36">
      <t>ロンテン</t>
    </rPh>
    <rPh sb="37" eb="39">
      <t>ドウジ</t>
    </rPh>
    <rPh sb="40" eb="41">
      <t>キ</t>
    </rPh>
    <rPh sb="46" eb="48">
      <t>ジッサイ</t>
    </rPh>
    <rPh sb="51" eb="53">
      <t>シュツダイ</t>
    </rPh>
    <rPh sb="62" eb="65">
      <t>サイダイゲン</t>
    </rPh>
    <rPh sb="66" eb="67">
      <t>ムズカ</t>
    </rPh>
    <rPh sb="69" eb="70">
      <t>ツク</t>
    </rPh>
    <rPh sb="79" eb="80">
      <t>ナガ</t>
    </rPh>
    <phoneticPr fontId="3"/>
  </si>
  <si>
    <t>診断士｢Ⅳ｣では問われませんが、｢難しい最大パターン｣として解いておくと、他の問題を簡単に感じる効果はあります。</t>
    <rPh sb="0" eb="3">
      <t>シンダンシ</t>
    </rPh>
    <rPh sb="8" eb="9">
      <t>ト</t>
    </rPh>
    <rPh sb="17" eb="18">
      <t>ムズカ</t>
    </rPh>
    <rPh sb="20" eb="22">
      <t>サイダイ</t>
    </rPh>
    <rPh sb="30" eb="31">
      <t>ト</t>
    </rPh>
    <rPh sb="37" eb="38">
      <t>タ</t>
    </rPh>
    <rPh sb="39" eb="41">
      <t>モンダイ</t>
    </rPh>
    <rPh sb="42" eb="44">
      <t>カンタン</t>
    </rPh>
    <rPh sb="45" eb="46">
      <t>カン</t>
    </rPh>
    <rPh sb="48" eb="50">
      <t>コウカ</t>
    </rPh>
    <phoneticPr fontId="3"/>
  </si>
  <si>
    <t>例題と同じ計算パターンですが、例題では難しすぎるので｢全部原価計算｣の計算は省略OKとした問題です。</t>
    <rPh sb="0" eb="2">
      <t>レイダイ</t>
    </rPh>
    <rPh sb="3" eb="4">
      <t>オナ</t>
    </rPh>
    <rPh sb="5" eb="7">
      <t>ケイサン</t>
    </rPh>
    <rPh sb="15" eb="17">
      <t>レイダイ</t>
    </rPh>
    <rPh sb="19" eb="20">
      <t>ムズカ</t>
    </rPh>
    <rPh sb="27" eb="29">
      <t>ゼンブ</t>
    </rPh>
    <rPh sb="29" eb="31">
      <t>ゲンカ</t>
    </rPh>
    <rPh sb="31" eb="33">
      <t>ケイサン</t>
    </rPh>
    <rPh sb="35" eb="37">
      <t>ケイサン</t>
    </rPh>
    <rPh sb="38" eb="40">
      <t>ショウリャク</t>
    </rPh>
    <rPh sb="45" eb="47">
      <t>モンダイ</t>
    </rPh>
    <phoneticPr fontId="3"/>
  </si>
  <si>
    <t>例題に比べ計算量は減りますが、｢事例Ⅳ｣で標準原価差異のPL作成が問われることはありません。難しいパターンも知っておきたい方のみ、試しに解いてみる程度でOKです。</t>
    <rPh sb="0" eb="2">
      <t>レイダイ</t>
    </rPh>
    <rPh sb="3" eb="4">
      <t>クラ</t>
    </rPh>
    <rPh sb="5" eb="7">
      <t>ケイサン</t>
    </rPh>
    <rPh sb="7" eb="8">
      <t>リョウ</t>
    </rPh>
    <rPh sb="9" eb="10">
      <t>ヘ</t>
    </rPh>
    <rPh sb="16" eb="18">
      <t>ジレイ</t>
    </rPh>
    <rPh sb="21" eb="23">
      <t>ヒョウジュン</t>
    </rPh>
    <rPh sb="23" eb="25">
      <t>ゲンカ</t>
    </rPh>
    <rPh sb="25" eb="27">
      <t>サイ</t>
    </rPh>
    <rPh sb="30" eb="32">
      <t>サクセイ</t>
    </rPh>
    <rPh sb="33" eb="34">
      <t>ト</t>
    </rPh>
    <rPh sb="46" eb="47">
      <t>ムズカ</t>
    </rPh>
    <rPh sb="54" eb="55">
      <t>シ</t>
    </rPh>
    <rPh sb="61" eb="62">
      <t>カタ</t>
    </rPh>
    <rPh sb="65" eb="66">
      <t>タメ</t>
    </rPh>
    <rPh sb="68" eb="69">
      <t>ト</t>
    </rPh>
    <rPh sb="73" eb="75">
      <t>テイド</t>
    </rPh>
    <phoneticPr fontId="3"/>
  </si>
  <si>
    <t>第2章 CASE7 原価の固変分解</t>
    <rPh sb="0" eb="1">
      <t>ダイ</t>
    </rPh>
    <rPh sb="2" eb="3">
      <t>ショウ</t>
    </rPh>
    <rPh sb="10" eb="12">
      <t>ゲンカ</t>
    </rPh>
    <rPh sb="13" eb="15">
      <t>コヘン</t>
    </rPh>
    <rPh sb="15" eb="17">
      <t>ブンカイ</t>
    </rPh>
    <phoneticPr fontId="3"/>
  </si>
  <si>
    <t>問題④ 原価の固変分解</t>
    <rPh sb="0" eb="2">
      <t>モンダイ</t>
    </rPh>
    <rPh sb="4" eb="6">
      <t>ゲンカ</t>
    </rPh>
    <rPh sb="7" eb="9">
      <t>コヘン</t>
    </rPh>
    <rPh sb="9" eb="11">
      <t>ブンカイ</t>
    </rPh>
    <phoneticPr fontId="3"/>
  </si>
  <si>
    <t>月</t>
    <rPh sb="0" eb="1">
      <t>ツキ</t>
    </rPh>
    <phoneticPr fontId="3"/>
  </si>
  <si>
    <t>製造原価：円</t>
    <rPh sb="0" eb="2">
      <t>セイゾウ</t>
    </rPh>
    <rPh sb="2" eb="4">
      <t>ゲンカ</t>
    </rPh>
    <rPh sb="5" eb="6">
      <t>エン</t>
    </rPh>
    <phoneticPr fontId="3"/>
  </si>
  <si>
    <t>機械稼働時間：h</t>
    <rPh sb="0" eb="2">
      <t>キカイ</t>
    </rPh>
    <rPh sb="2" eb="4">
      <t>カドウ</t>
    </rPh>
    <rPh sb="4" eb="6">
      <t>ジカン</t>
    </rPh>
    <phoneticPr fontId="3"/>
  </si>
  <si>
    <t>販管費：円</t>
    <rPh sb="0" eb="3">
      <t>ハンカンヒ</t>
    </rPh>
    <rPh sb="4" eb="5">
      <t>エン</t>
    </rPh>
    <phoneticPr fontId="3"/>
  </si>
  <si>
    <t>操業度</t>
    <rPh sb="0" eb="2">
      <t>ソウギョウ</t>
    </rPh>
    <rPh sb="2" eb="3">
      <t>ド</t>
    </rPh>
    <phoneticPr fontId="3"/>
  </si>
  <si>
    <t>月間正常機械稼働時間</t>
    <rPh sb="0" eb="2">
      <t>ゲッカン</t>
    </rPh>
    <rPh sb="2" eb="4">
      <t>セイジョウ</t>
    </rPh>
    <rPh sb="4" eb="6">
      <t>キカイ</t>
    </rPh>
    <rPh sb="6" eb="8">
      <t>カドウ</t>
    </rPh>
    <rPh sb="8" eb="10">
      <t>ジカン</t>
    </rPh>
    <phoneticPr fontId="3"/>
  </si>
  <si>
    <t>異常</t>
    <rPh sb="0" eb="2">
      <t>イジョウ</t>
    </rPh>
    <phoneticPr fontId="3"/>
  </si>
  <si>
    <t>最高</t>
    <rPh sb="0" eb="2">
      <t>サイコウ</t>
    </rPh>
    <phoneticPr fontId="3"/>
  </si>
  <si>
    <t>最低</t>
    <rPh sb="0" eb="2">
      <t>サイテイ</t>
    </rPh>
    <phoneticPr fontId="3"/>
  </si>
  <si>
    <t>解法</t>
    <rPh sb="0" eb="2">
      <t>カイホウ</t>
    </rPh>
    <phoneticPr fontId="3"/>
  </si>
  <si>
    <t>y=ax+bの方程式で解く</t>
    <rPh sb="7" eb="10">
      <t>ホウテイシキ</t>
    </rPh>
    <rPh sb="11" eb="12">
      <t>ト</t>
    </rPh>
    <phoneticPr fontId="3"/>
  </si>
  <si>
    <t>①傾きaの計算</t>
    <rPh sb="1" eb="2">
      <t>カタム</t>
    </rPh>
    <rPh sb="5" eb="7">
      <t>ケイサン</t>
    </rPh>
    <phoneticPr fontId="3"/>
  </si>
  <si>
    <t>製造原価</t>
    <rPh sb="0" eb="2">
      <t>セイゾウ</t>
    </rPh>
    <rPh sb="2" eb="4">
      <t>ゲンカ</t>
    </rPh>
    <phoneticPr fontId="3"/>
  </si>
  <si>
    <t>a=</t>
    <phoneticPr fontId="3"/>
  </si>
  <si>
    <t>②切片bの計算</t>
    <rPh sb="1" eb="3">
      <t>セッペン</t>
    </rPh>
    <rPh sb="5" eb="7">
      <t>ケイサン</t>
    </rPh>
    <phoneticPr fontId="3"/>
  </si>
  <si>
    <t>b=</t>
    <phoneticPr fontId="3"/>
  </si>
  <si>
    <t>7月の予想発生額</t>
    <rPh sb="1" eb="2">
      <t>ガツ</t>
    </rPh>
    <rPh sb="3" eb="5">
      <t>ヨソウ</t>
    </rPh>
    <rPh sb="5" eb="7">
      <t>ハッセイ</t>
    </rPh>
    <rPh sb="7" eb="8">
      <t>ガク</t>
    </rPh>
    <phoneticPr fontId="3"/>
  </si>
  <si>
    <t>問題⑤ 原価の固変分解 参考</t>
    <rPh sb="0" eb="2">
      <t>モンダイ</t>
    </rPh>
    <rPh sb="4" eb="6">
      <t>ゲンカ</t>
    </rPh>
    <rPh sb="7" eb="9">
      <t>コヘン</t>
    </rPh>
    <rPh sb="9" eb="11">
      <t>ブンカイ</t>
    </rPh>
    <rPh sb="12" eb="14">
      <t>サンコウ</t>
    </rPh>
    <phoneticPr fontId="3"/>
  </si>
  <si>
    <t>こちらは｢Ⅳ｣で問われない最小二乗法の計算問題。</t>
    <rPh sb="8" eb="9">
      <t>ト</t>
    </rPh>
    <rPh sb="13" eb="15">
      <t>サイショウ</t>
    </rPh>
    <rPh sb="15" eb="18">
      <t>ジジョウホウ</t>
    </rPh>
    <rPh sb="19" eb="21">
      <t>ケイサン</t>
    </rPh>
    <rPh sb="21" eb="23">
      <t>モンダイ</t>
    </rPh>
    <phoneticPr fontId="3"/>
  </si>
  <si>
    <t>パスしてOK。</t>
    <phoneticPr fontId="3"/>
  </si>
  <si>
    <t>直接作業時間:ｈ</t>
    <rPh sb="0" eb="2">
      <t>チョクセツ</t>
    </rPh>
    <rPh sb="2" eb="4">
      <t>サギョウ</t>
    </rPh>
    <rPh sb="4" eb="6">
      <t>ジカン</t>
    </rPh>
    <phoneticPr fontId="3"/>
  </si>
  <si>
    <t>補助材料費：円</t>
    <rPh sb="0" eb="2">
      <t>ホジョ</t>
    </rPh>
    <rPh sb="2" eb="5">
      <t>ザイリョウヒ</t>
    </rPh>
    <rPh sb="6" eb="7">
      <t>エン</t>
    </rPh>
    <phoneticPr fontId="3"/>
  </si>
  <si>
    <t>X</t>
  </si>
  <si>
    <t>X</t>
    <phoneticPr fontId="3"/>
  </si>
  <si>
    <t>Y</t>
  </si>
  <si>
    <t>Y</t>
    <phoneticPr fontId="3"/>
  </si>
  <si>
    <r>
      <t>X</t>
    </r>
    <r>
      <rPr>
        <vertAlign val="superscript"/>
        <sz val="10"/>
        <color theme="1"/>
        <rFont val="游ゴシック"/>
        <family val="3"/>
        <charset val="128"/>
        <scheme val="minor"/>
      </rPr>
      <t>2</t>
    </r>
    <phoneticPr fontId="3"/>
  </si>
  <si>
    <t>X･Y</t>
    <phoneticPr fontId="3"/>
  </si>
  <si>
    <t>ΣX</t>
    <phoneticPr fontId="3"/>
  </si>
  <si>
    <t>ΣY</t>
    <phoneticPr fontId="3"/>
  </si>
  <si>
    <t>ΣX･Y</t>
    <phoneticPr fontId="3"/>
  </si>
  <si>
    <r>
      <t>ΣX</t>
    </r>
    <r>
      <rPr>
        <vertAlign val="superscript"/>
        <sz val="10"/>
        <color theme="1"/>
        <rFont val="游ゴシック"/>
        <family val="3"/>
        <charset val="128"/>
        <scheme val="minor"/>
      </rPr>
      <t>2</t>
    </r>
    <phoneticPr fontId="3"/>
  </si>
  <si>
    <t>正規方程式</t>
    <rPh sb="0" eb="2">
      <t>セイキ</t>
    </rPh>
    <rPh sb="2" eb="5">
      <t>ホウテイシキ</t>
    </rPh>
    <phoneticPr fontId="3"/>
  </si>
  <si>
    <t>※定義から</t>
    <rPh sb="1" eb="3">
      <t>テイギ</t>
    </rPh>
    <phoneticPr fontId="3"/>
  </si>
  <si>
    <t>ΣY</t>
    <phoneticPr fontId="3"/>
  </si>
  <si>
    <t>+b×</t>
    <phoneticPr fontId="3"/>
  </si>
  <si>
    <t>n</t>
    <phoneticPr fontId="3"/>
  </si>
  <si>
    <t>a</t>
    <phoneticPr fontId="3"/>
  </si>
  <si>
    <t>=a×</t>
    <phoneticPr fontId="3"/>
  </si>
  <si>
    <t>ΣXY</t>
    <phoneticPr fontId="3"/>
  </si>
  <si>
    <r>
      <t>ΣX</t>
    </r>
    <r>
      <rPr>
        <vertAlign val="superscript"/>
        <sz val="10"/>
        <rFont val="游ゴシック"/>
        <family val="3"/>
        <charset val="128"/>
        <scheme val="minor"/>
      </rPr>
      <t>2</t>
    </r>
    <phoneticPr fontId="3"/>
  </si>
  <si>
    <t>ここに表で求めた数字を代入し、a、bを連立方程式で求める</t>
    <rPh sb="3" eb="4">
      <t>ヒョウ</t>
    </rPh>
    <rPh sb="5" eb="6">
      <t>モト</t>
    </rPh>
    <rPh sb="8" eb="10">
      <t>スウジ</t>
    </rPh>
    <rPh sb="11" eb="13">
      <t>ダイニュウ</t>
    </rPh>
    <rPh sb="19" eb="21">
      <t>レンリツ</t>
    </rPh>
    <rPh sb="21" eb="24">
      <t>ホウテイシキ</t>
    </rPh>
    <rPh sb="25" eb="26">
      <t>モト</t>
    </rPh>
    <phoneticPr fontId="3"/>
  </si>
  <si>
    <t>500で割る</t>
    <rPh sb="4" eb="5">
      <t>ワ</t>
    </rPh>
    <phoneticPr fontId="3"/>
  </si>
  <si>
    <t>→4b＝</t>
    <phoneticPr fontId="3"/>
  </si>
  <si>
    <t>-</t>
    <phoneticPr fontId="3"/>
  </si>
  <si>
    <t>→4b＝</t>
    <phoneticPr fontId="3"/>
  </si>
  <si>
    <t>-</t>
    <phoneticPr fontId="3"/>
  </si>
  <si>
    <t>②-①を解くと、</t>
    <rPh sb="4" eb="5">
      <t>ト</t>
    </rPh>
    <phoneticPr fontId="3"/>
  </si>
  <si>
    <t>①の元の式に代入し、</t>
    <rPh sb="2" eb="3">
      <t>モト</t>
    </rPh>
    <rPh sb="4" eb="5">
      <t>シキ</t>
    </rPh>
    <rPh sb="6" eb="8">
      <t>ダイニュウ</t>
    </rPh>
    <phoneticPr fontId="3"/>
  </si>
  <si>
    <t>a・・①</t>
    <phoneticPr fontId="3"/>
  </si>
  <si>
    <t>a・・②</t>
    <phoneticPr fontId="3"/>
  </si>
  <si>
    <t>a＝</t>
    <phoneticPr fontId="3"/>
  </si>
  <si>
    <t>a＝</t>
    <phoneticPr fontId="3"/>
  </si>
  <si>
    <t>円/時</t>
    <rPh sb="0" eb="1">
      <t>エン</t>
    </rPh>
    <rPh sb="2" eb="3">
      <t>ジ</t>
    </rPh>
    <phoneticPr fontId="3"/>
  </si>
  <si>
    <t>・・最高・最低の2点を採り、y=aX+bの連立方程式で解く</t>
    <rPh sb="2" eb="4">
      <t>サイコウ</t>
    </rPh>
    <rPh sb="5" eb="7">
      <t>サイテイ</t>
    </rPh>
    <rPh sb="9" eb="10">
      <t>テン</t>
    </rPh>
    <rPh sb="11" eb="12">
      <t>ト</t>
    </rPh>
    <rPh sb="21" eb="23">
      <t>レンリツ</t>
    </rPh>
    <rPh sb="23" eb="26">
      <t>ホウテイシキ</t>
    </rPh>
    <rPh sb="27" eb="28">
      <t>ト</t>
    </rPh>
    <phoneticPr fontId="3"/>
  </si>
  <si>
    <t>(1)高低点法</t>
    <rPh sb="3" eb="5">
      <t>コウテイ</t>
    </rPh>
    <rPh sb="5" eb="6">
      <t>テン</t>
    </rPh>
    <rPh sb="6" eb="7">
      <t>ホウ</t>
    </rPh>
    <phoneticPr fontId="3"/>
  </si>
  <si>
    <t>補助材料費</t>
    <rPh sb="0" eb="2">
      <t>ホジョ</t>
    </rPh>
    <rPh sb="2" eb="5">
      <t>ザイリョウヒ</t>
    </rPh>
    <phoneticPr fontId="3"/>
  </si>
  <si>
    <t>(2)最小二乗法 ※｢Ⅳ｣では問われない</t>
    <rPh sb="3" eb="5">
      <t>サイショウ</t>
    </rPh>
    <rPh sb="5" eb="8">
      <t>ジジョウホウ</t>
    </rPh>
    <rPh sb="15" eb="16">
      <t>ト</t>
    </rPh>
    <phoneticPr fontId="3"/>
  </si>
  <si>
    <t>X・Y</t>
    <phoneticPr fontId="3"/>
  </si>
  <si>
    <t>-</t>
    <phoneticPr fontId="3"/>
  </si>
  <si>
    <t>a</t>
    <phoneticPr fontId="3"/>
  </si>
  <si>
    <t>250で割る</t>
    <rPh sb="4" eb="5">
      <t>ワ</t>
    </rPh>
    <phoneticPr fontId="3"/>
  </si>
  <si>
    <t>例題：原価の固変分解</t>
    <rPh sb="0" eb="2">
      <t>レイダイ</t>
    </rPh>
    <rPh sb="3" eb="5">
      <t>ゲンカ</t>
    </rPh>
    <rPh sb="6" eb="8">
      <t>コヘン</t>
    </rPh>
    <rPh sb="8" eb="10">
      <t>ブンカイ</t>
    </rPh>
    <phoneticPr fontId="3"/>
  </si>
  <si>
    <t>｢事例Ⅳ｣では、第1問でPL(全部原価計算)が与えられ、第2～3問でCVP分析(直接原価計算)をさせるパターンが良くあります。</t>
    <rPh sb="1" eb="3">
      <t>ジレイ</t>
    </rPh>
    <rPh sb="8" eb="9">
      <t>ダイ</t>
    </rPh>
    <rPh sb="10" eb="11">
      <t>モン</t>
    </rPh>
    <rPh sb="15" eb="17">
      <t>ゼンブ</t>
    </rPh>
    <rPh sb="17" eb="19">
      <t>ゲンカ</t>
    </rPh>
    <rPh sb="19" eb="21">
      <t>ケイサン</t>
    </rPh>
    <rPh sb="23" eb="24">
      <t>アタ</t>
    </rPh>
    <rPh sb="28" eb="29">
      <t>ダイ</t>
    </rPh>
    <rPh sb="32" eb="33">
      <t>モン</t>
    </rPh>
    <rPh sb="37" eb="39">
      <t>ブンセキ</t>
    </rPh>
    <rPh sb="40" eb="42">
      <t>チョクセツ</t>
    </rPh>
    <rPh sb="42" eb="44">
      <t>ゲンカ</t>
    </rPh>
    <rPh sb="44" eb="46">
      <t>ケイサン</t>
    </rPh>
    <rPh sb="56" eb="57">
      <t>ヨ</t>
    </rPh>
    <phoneticPr fontId="3"/>
  </si>
  <si>
    <t>このとき、全部原価計算→直接原価計算への組み換えが必要で、｢原価の固変分解｣がその手法の一つです。</t>
    <rPh sb="5" eb="7">
      <t>ゼンブ</t>
    </rPh>
    <rPh sb="7" eb="9">
      <t>ゲンカ</t>
    </rPh>
    <rPh sb="9" eb="11">
      <t>ケイサン</t>
    </rPh>
    <rPh sb="12" eb="14">
      <t>チョクセツ</t>
    </rPh>
    <rPh sb="14" eb="16">
      <t>ゲンカ</t>
    </rPh>
    <rPh sb="16" eb="18">
      <t>ケイサン</t>
    </rPh>
    <rPh sb="20" eb="21">
      <t>ク</t>
    </rPh>
    <rPh sb="22" eb="23">
      <t>カ</t>
    </rPh>
    <rPh sb="25" eb="27">
      <t>ヒツヨウ</t>
    </rPh>
    <rPh sb="30" eb="32">
      <t>ゲンカ</t>
    </rPh>
    <rPh sb="33" eb="35">
      <t>コヘン</t>
    </rPh>
    <rPh sb="35" eb="37">
      <t>ブンカイ</t>
    </rPh>
    <rPh sb="41" eb="43">
      <t>シュホウ</t>
    </rPh>
    <rPh sb="44" eb="45">
      <t>ヒト</t>
    </rPh>
    <phoneticPr fontId="3"/>
  </si>
  <si>
    <t>ただし最近の｢事例Ⅳ｣では、予想PLを作成させる出題が主で、｢原価の固変分解｣が問われたのは、H19第2問が最後です。簡単な知識なので計算練習を。</t>
    <rPh sb="3" eb="5">
      <t>サイキン</t>
    </rPh>
    <rPh sb="7" eb="9">
      <t>ジレイ</t>
    </rPh>
    <rPh sb="14" eb="16">
      <t>ヨソウ</t>
    </rPh>
    <rPh sb="19" eb="21">
      <t>サクセイ</t>
    </rPh>
    <rPh sb="24" eb="26">
      <t>シュツダイ</t>
    </rPh>
    <rPh sb="27" eb="28">
      <t>オモ</t>
    </rPh>
    <rPh sb="31" eb="33">
      <t>ゲンカ</t>
    </rPh>
    <rPh sb="34" eb="36">
      <t>コヘン</t>
    </rPh>
    <rPh sb="36" eb="38">
      <t>ブンカイ</t>
    </rPh>
    <rPh sb="40" eb="41">
      <t>ト</t>
    </rPh>
    <rPh sb="50" eb="51">
      <t>ダイ</t>
    </rPh>
    <rPh sb="52" eb="53">
      <t>モン</t>
    </rPh>
    <rPh sb="54" eb="56">
      <t>サイゴ</t>
    </rPh>
    <rPh sb="59" eb="61">
      <t>カンタン</t>
    </rPh>
    <rPh sb="62" eb="64">
      <t>チシキ</t>
    </rPh>
    <rPh sb="67" eb="69">
      <t>ケイサン</t>
    </rPh>
    <rPh sb="69" eb="71">
      <t>レンシュウ</t>
    </rPh>
    <phoneticPr fontId="3"/>
  </si>
  <si>
    <t>最も正確な計算は(2)最小二乗法ですが、｢Ⅳ｣では問われません。(1)高低点法とは結果が異なりますが、この程度の違いは気にしないおおらかさが、管理会計の特長です。</t>
    <rPh sb="0" eb="1">
      <t>モット</t>
    </rPh>
    <rPh sb="2" eb="4">
      <t>セイカク</t>
    </rPh>
    <rPh sb="5" eb="7">
      <t>ケイサン</t>
    </rPh>
    <rPh sb="11" eb="13">
      <t>サイショウ</t>
    </rPh>
    <rPh sb="13" eb="16">
      <t>ジジョウホウ</t>
    </rPh>
    <rPh sb="25" eb="26">
      <t>ト</t>
    </rPh>
    <rPh sb="35" eb="37">
      <t>コウテイ</t>
    </rPh>
    <rPh sb="37" eb="38">
      <t>テン</t>
    </rPh>
    <rPh sb="38" eb="39">
      <t>ホウ</t>
    </rPh>
    <rPh sb="41" eb="43">
      <t>ケッカ</t>
    </rPh>
    <rPh sb="44" eb="45">
      <t>コト</t>
    </rPh>
    <rPh sb="53" eb="55">
      <t>テイド</t>
    </rPh>
    <rPh sb="56" eb="57">
      <t>チガ</t>
    </rPh>
    <rPh sb="59" eb="60">
      <t>キ</t>
    </rPh>
    <rPh sb="71" eb="73">
      <t>カンリ</t>
    </rPh>
    <rPh sb="73" eb="75">
      <t>カイケイ</t>
    </rPh>
    <rPh sb="76" eb="78">
      <t>トクチョウ</t>
    </rPh>
    <phoneticPr fontId="3"/>
  </si>
  <si>
    <t>高低点法の計算問題。｢Ⅳ｣で今更出題される可能性は低いですが、この程度なら解ける。</t>
    <rPh sb="0" eb="2">
      <t>コウテイ</t>
    </rPh>
    <rPh sb="2" eb="3">
      <t>テン</t>
    </rPh>
    <rPh sb="3" eb="4">
      <t>ホウ</t>
    </rPh>
    <rPh sb="5" eb="7">
      <t>ケイサン</t>
    </rPh>
    <rPh sb="7" eb="9">
      <t>モンダイ</t>
    </rPh>
    <rPh sb="14" eb="16">
      <t>イマサラ</t>
    </rPh>
    <rPh sb="16" eb="18">
      <t>シュツダイ</t>
    </rPh>
    <rPh sb="21" eb="24">
      <t>カノウセイ</t>
    </rPh>
    <rPh sb="25" eb="26">
      <t>ヒク</t>
    </rPh>
    <rPh sb="33" eb="35">
      <t>テイド</t>
    </rPh>
    <rPh sb="37" eb="38">
      <t>ト</t>
    </rPh>
    <phoneticPr fontId="3"/>
  </si>
  <si>
    <t>第2章 CASE9 CVP分析～基本編</t>
    <rPh sb="0" eb="1">
      <t>ダイ</t>
    </rPh>
    <rPh sb="2" eb="3">
      <t>ショウ</t>
    </rPh>
    <rPh sb="13" eb="15">
      <t>ブンセキ</t>
    </rPh>
    <rPh sb="16" eb="18">
      <t>キホン</t>
    </rPh>
    <rPh sb="18" eb="19">
      <t>ヘン</t>
    </rPh>
    <phoneticPr fontId="3"/>
  </si>
  <si>
    <t>問題⑥：CVP分析～基本編</t>
    <rPh sb="0" eb="2">
      <t>モンダイ</t>
    </rPh>
    <rPh sb="7" eb="9">
      <t>ブンセキ</t>
    </rPh>
    <rPh sb="10" eb="12">
      <t>キホン</t>
    </rPh>
    <rPh sb="12" eb="13">
      <t>ヘン</t>
    </rPh>
    <phoneticPr fontId="3"/>
  </si>
  <si>
    <t>資料</t>
    <rPh sb="0" eb="2">
      <t>シリョウ</t>
    </rPh>
    <phoneticPr fontId="3"/>
  </si>
  <si>
    <t>販売数量</t>
    <rPh sb="0" eb="2">
      <t>ハンバイ</t>
    </rPh>
    <rPh sb="2" eb="4">
      <t>スウリョウ</t>
    </rPh>
    <phoneticPr fontId="3"/>
  </si>
  <si>
    <t>販売単価</t>
    <rPh sb="0" eb="2">
      <t>ハンバイ</t>
    </rPh>
    <rPh sb="2" eb="4">
      <t>タンカ</t>
    </rPh>
    <phoneticPr fontId="3"/>
  </si>
  <si>
    <t>変動費単価</t>
    <rPh sb="0" eb="2">
      <t>ヘンドウ</t>
    </rPh>
    <rPh sb="2" eb="3">
      <t>ヒ</t>
    </rPh>
    <rPh sb="3" eb="5">
      <t>タンカ</t>
    </rPh>
    <phoneticPr fontId="3"/>
  </si>
  <si>
    <t>固定費</t>
    <rPh sb="0" eb="3">
      <t>コテイヒ</t>
    </rPh>
    <phoneticPr fontId="3"/>
  </si>
  <si>
    <t>限界利益率</t>
    <rPh sb="0" eb="2">
      <t>ゲンカイ</t>
    </rPh>
    <rPh sb="2" eb="4">
      <t>リエキ</t>
    </rPh>
    <rPh sb="4" eb="5">
      <t>リツ</t>
    </rPh>
    <phoneticPr fontId="3"/>
  </si>
  <si>
    <t>損益分岐点売上高</t>
    <rPh sb="0" eb="2">
      <t>ソンエキ</t>
    </rPh>
    <rPh sb="2" eb="5">
      <t>ブンキテン</t>
    </rPh>
    <rPh sb="5" eb="7">
      <t>ウリアゲ</t>
    </rPh>
    <rPh sb="7" eb="8">
      <t>ダカ</t>
    </rPh>
    <phoneticPr fontId="3"/>
  </si>
  <si>
    <t>損益分岐点販売数量</t>
    <rPh sb="0" eb="2">
      <t>ソンエキ</t>
    </rPh>
    <rPh sb="2" eb="5">
      <t>ブンキテン</t>
    </rPh>
    <rPh sb="5" eb="7">
      <t>ハンバイ</t>
    </rPh>
    <rPh sb="7" eb="9">
      <t>スウリョウ</t>
    </rPh>
    <phoneticPr fontId="3"/>
  </si>
  <si>
    <t>問2</t>
    <rPh sb="0" eb="1">
      <t>ト</t>
    </rPh>
    <phoneticPr fontId="3"/>
  </si>
  <si>
    <t>問1</t>
    <rPh sb="0" eb="1">
      <t>ト</t>
    </rPh>
    <phoneticPr fontId="3"/>
  </si>
  <si>
    <t>安全余裕率</t>
    <rPh sb="0" eb="2">
      <t>アンゼン</t>
    </rPh>
    <rPh sb="2" eb="4">
      <t>ヨユウ</t>
    </rPh>
    <rPh sb="4" eb="5">
      <t>リツ</t>
    </rPh>
    <phoneticPr fontId="3"/>
  </si>
  <si>
    <t>問3</t>
    <rPh sb="0" eb="1">
      <t>ト</t>
    </rPh>
    <phoneticPr fontId="3"/>
  </si>
  <si>
    <t>目標営業利益に必要な売上高</t>
    <rPh sb="0" eb="2">
      <t>モクヒョウ</t>
    </rPh>
    <rPh sb="2" eb="4">
      <t>エイギョウ</t>
    </rPh>
    <rPh sb="4" eb="6">
      <t>リエキ</t>
    </rPh>
    <rPh sb="7" eb="9">
      <t>ヒツヨウ</t>
    </rPh>
    <rPh sb="10" eb="12">
      <t>ウリアゲ</t>
    </rPh>
    <rPh sb="12" eb="13">
      <t>ダカ</t>
    </rPh>
    <phoneticPr fontId="3"/>
  </si>
  <si>
    <t>〃 販売数量</t>
    <rPh sb="2" eb="4">
      <t>ハンバイ</t>
    </rPh>
    <rPh sb="4" eb="6">
      <t>スウリョウ</t>
    </rPh>
    <phoneticPr fontId="3"/>
  </si>
  <si>
    <t>目標営業利益</t>
    <rPh sb="0" eb="2">
      <t>モクヒョウ</t>
    </rPh>
    <rPh sb="2" eb="4">
      <t>エイギョウ</t>
    </rPh>
    <rPh sb="4" eb="6">
      <t>リエキ</t>
    </rPh>
    <phoneticPr fontId="3"/>
  </si>
  <si>
    <t>問4</t>
    <rPh sb="0" eb="1">
      <t>ト</t>
    </rPh>
    <phoneticPr fontId="3"/>
  </si>
  <si>
    <t>目標営業利益率</t>
    <rPh sb="0" eb="2">
      <t>モクヒョウ</t>
    </rPh>
    <rPh sb="2" eb="4">
      <t>エイギョウ</t>
    </rPh>
    <rPh sb="4" eb="6">
      <t>リエキ</t>
    </rPh>
    <rPh sb="6" eb="7">
      <t>リツ</t>
    </rPh>
    <phoneticPr fontId="3"/>
  </si>
  <si>
    <t>必要売上高</t>
    <rPh sb="0" eb="2">
      <t>ヒツヨウ</t>
    </rPh>
    <rPh sb="2" eb="4">
      <t>ウリアゲ</t>
    </rPh>
    <rPh sb="4" eb="5">
      <t>ダカ</t>
    </rPh>
    <phoneticPr fontId="3"/>
  </si>
  <si>
    <t>必要販売数量</t>
    <rPh sb="0" eb="2">
      <t>ヒツヨウ</t>
    </rPh>
    <rPh sb="2" eb="4">
      <t>ハンバイ</t>
    </rPh>
    <rPh sb="4" eb="6">
      <t>スウリョウ</t>
    </rPh>
    <phoneticPr fontId="3"/>
  </si>
  <si>
    <t>円</t>
    <rPh sb="0" eb="1">
      <t>エン</t>
    </rPh>
    <phoneticPr fontId="3"/>
  </si>
  <si>
    <t>個</t>
    <rPh sb="0" eb="1">
      <t>コ</t>
    </rPh>
    <phoneticPr fontId="3"/>
  </si>
  <si>
    <t>SBEPは、固定費÷限界利益率で一発計算。</t>
    <rPh sb="6" eb="9">
      <t>コテイヒ</t>
    </rPh>
    <rPh sb="10" eb="12">
      <t>ゲンカイ</t>
    </rPh>
    <rPh sb="12" eb="14">
      <t>リエキ</t>
    </rPh>
    <rPh sb="14" eb="15">
      <t>リツ</t>
    </rPh>
    <rPh sb="16" eb="18">
      <t>イッパツ</t>
    </rPh>
    <rPh sb="18" eb="20">
      <t>ケイサン</t>
    </rPh>
    <phoneticPr fontId="3"/>
  </si>
  <si>
    <t>目標営業利益｢額｣を指示されたら、固定費に加算して限界利益率で割る。</t>
    <rPh sb="0" eb="2">
      <t>モクヒョウ</t>
    </rPh>
    <rPh sb="2" eb="4">
      <t>エイギョウ</t>
    </rPh>
    <rPh sb="4" eb="6">
      <t>リエキ</t>
    </rPh>
    <rPh sb="7" eb="8">
      <t>ガク</t>
    </rPh>
    <rPh sb="10" eb="12">
      <t>シジ</t>
    </rPh>
    <rPh sb="17" eb="20">
      <t>コテイヒ</t>
    </rPh>
    <rPh sb="21" eb="23">
      <t>カサン</t>
    </rPh>
    <rPh sb="25" eb="27">
      <t>ゲンカイ</t>
    </rPh>
    <rPh sb="27" eb="29">
      <t>リエキ</t>
    </rPh>
    <rPh sb="29" eb="30">
      <t>リツ</t>
    </rPh>
    <rPh sb="31" eb="32">
      <t>ワ</t>
    </rPh>
    <phoneticPr fontId="3"/>
  </si>
  <si>
    <t>目標営業利益率を指示されたら、やり方は任意で良いが、方程式で解く。</t>
    <rPh sb="0" eb="2">
      <t>モクヒョウ</t>
    </rPh>
    <rPh sb="2" eb="4">
      <t>エイギョウ</t>
    </rPh>
    <rPh sb="4" eb="6">
      <t>リエキ</t>
    </rPh>
    <rPh sb="6" eb="7">
      <t>リツ</t>
    </rPh>
    <rPh sb="8" eb="10">
      <t>シジ</t>
    </rPh>
    <rPh sb="17" eb="18">
      <t>カタ</t>
    </rPh>
    <rPh sb="19" eb="21">
      <t>ニンイ</t>
    </rPh>
    <rPh sb="22" eb="23">
      <t>ヨ</t>
    </rPh>
    <rPh sb="26" eb="29">
      <t>ホウテイシキ</t>
    </rPh>
    <rPh sb="30" eb="31">
      <t>ト</t>
    </rPh>
    <phoneticPr fontId="3"/>
  </si>
  <si>
    <t>この関数では、限界利益率35%－目標営業利益率20%＝15%として、ショートカットで求めた。</t>
    <rPh sb="2" eb="4">
      <t>カンスウ</t>
    </rPh>
    <rPh sb="7" eb="9">
      <t>ゲンカイ</t>
    </rPh>
    <rPh sb="9" eb="11">
      <t>リエキ</t>
    </rPh>
    <rPh sb="11" eb="12">
      <t>リツ</t>
    </rPh>
    <rPh sb="16" eb="18">
      <t>モクヒョウ</t>
    </rPh>
    <rPh sb="18" eb="20">
      <t>エイギョウ</t>
    </rPh>
    <rPh sb="20" eb="22">
      <t>リエキ</t>
    </rPh>
    <rPh sb="22" eb="23">
      <t>リツ</t>
    </rPh>
    <rPh sb="42" eb="43">
      <t>モト</t>
    </rPh>
    <phoneticPr fontId="3"/>
  </si>
  <si>
    <t>予想売上高</t>
    <rPh sb="0" eb="2">
      <t>ヨソウ</t>
    </rPh>
    <rPh sb="2" eb="4">
      <t>ウリアゲ</t>
    </rPh>
    <rPh sb="4" eb="5">
      <t>ダカ</t>
    </rPh>
    <phoneticPr fontId="3"/>
  </si>
  <si>
    <t>単価</t>
    <rPh sb="0" eb="2">
      <t>タンカ</t>
    </rPh>
    <phoneticPr fontId="3"/>
  </si>
  <si>
    <t>個数</t>
    <rPh sb="0" eb="2">
      <t>コスウ</t>
    </rPh>
    <phoneticPr fontId="3"/>
  </si>
  <si>
    <t>直接材料費</t>
    <rPh sb="0" eb="2">
      <t>チョクセツ</t>
    </rPh>
    <rPh sb="2" eb="5">
      <t>ザイリョウヒ</t>
    </rPh>
    <phoneticPr fontId="3"/>
  </si>
  <si>
    <t>直接労務費</t>
    <rPh sb="0" eb="2">
      <t>チョクセツ</t>
    </rPh>
    <rPh sb="2" eb="4">
      <t>ロウム</t>
    </rPh>
    <rPh sb="4" eb="5">
      <t>ヒ</t>
    </rPh>
    <phoneticPr fontId="3"/>
  </si>
  <si>
    <t>変動製造間接費</t>
    <rPh sb="0" eb="2">
      <t>ヘンドウ</t>
    </rPh>
    <rPh sb="2" eb="4">
      <t>セイゾウ</t>
    </rPh>
    <rPh sb="4" eb="6">
      <t>カンセツ</t>
    </rPh>
    <rPh sb="6" eb="7">
      <t>ヒ</t>
    </rPh>
    <phoneticPr fontId="3"/>
  </si>
  <si>
    <t>変動販売費</t>
    <rPh sb="0" eb="2">
      <t>ヘンドウ</t>
    </rPh>
    <rPh sb="2" eb="5">
      <t>ハンバイヒ</t>
    </rPh>
    <phoneticPr fontId="3"/>
  </si>
  <si>
    <t>固定製造間接費</t>
    <rPh sb="0" eb="2">
      <t>コテイ</t>
    </rPh>
    <rPh sb="2" eb="4">
      <t>セイゾウ</t>
    </rPh>
    <rPh sb="4" eb="6">
      <t>カンセツ</t>
    </rPh>
    <rPh sb="6" eb="7">
      <t>ヒ</t>
    </rPh>
    <phoneticPr fontId="3"/>
  </si>
  <si>
    <t>固定販管費</t>
    <rPh sb="0" eb="2">
      <t>コテイ</t>
    </rPh>
    <rPh sb="2" eb="5">
      <t>ハンカンヒ</t>
    </rPh>
    <phoneticPr fontId="3"/>
  </si>
  <si>
    <t>限界利益</t>
    <rPh sb="0" eb="2">
      <t>ゲンカイ</t>
    </rPh>
    <rPh sb="2" eb="4">
      <t>リエキ</t>
    </rPh>
    <phoneticPr fontId="3"/>
  </si>
  <si>
    <t>営業利益</t>
    <rPh sb="0" eb="2">
      <t>エイギョウ</t>
    </rPh>
    <rPh sb="2" eb="4">
      <t>リエキ</t>
    </rPh>
    <phoneticPr fontId="3"/>
  </si>
  <si>
    <t>例題：CVP分析～基本編</t>
    <rPh sb="0" eb="2">
      <t>レイダイ</t>
    </rPh>
    <rPh sb="6" eb="8">
      <t>ブンセキ</t>
    </rPh>
    <rPh sb="9" eb="11">
      <t>キホン</t>
    </rPh>
    <rPh sb="11" eb="12">
      <t>ヘン</t>
    </rPh>
    <phoneticPr fontId="3"/>
  </si>
  <si>
    <t>CVP分析で問える論点は決まっていて、当例題のように｢損益分岐点売上高/数量｣｢安全余裕率｣｢目標営業利益額｣｢目標営業利益率｣などがあります。※他にも応用パターンあり。</t>
    <rPh sb="3" eb="5">
      <t>ブンセキ</t>
    </rPh>
    <rPh sb="6" eb="7">
      <t>ト</t>
    </rPh>
    <rPh sb="9" eb="11">
      <t>ロンテン</t>
    </rPh>
    <rPh sb="12" eb="13">
      <t>キ</t>
    </rPh>
    <rPh sb="19" eb="20">
      <t>トウ</t>
    </rPh>
    <rPh sb="20" eb="22">
      <t>レイダイ</t>
    </rPh>
    <rPh sb="27" eb="29">
      <t>ソンエキ</t>
    </rPh>
    <rPh sb="29" eb="31">
      <t>ブンキ</t>
    </rPh>
    <rPh sb="31" eb="32">
      <t>テン</t>
    </rPh>
    <rPh sb="32" eb="34">
      <t>ウリアゲ</t>
    </rPh>
    <rPh sb="34" eb="35">
      <t>ダカ</t>
    </rPh>
    <rPh sb="36" eb="38">
      <t>スウリョウ</t>
    </rPh>
    <rPh sb="40" eb="42">
      <t>アンゼン</t>
    </rPh>
    <rPh sb="42" eb="44">
      <t>ヨユウ</t>
    </rPh>
    <rPh sb="44" eb="45">
      <t>リツ</t>
    </rPh>
    <rPh sb="47" eb="49">
      <t>モクヒョウ</t>
    </rPh>
    <rPh sb="49" eb="51">
      <t>エイギョウ</t>
    </rPh>
    <rPh sb="51" eb="53">
      <t>リエキ</t>
    </rPh>
    <rPh sb="53" eb="54">
      <t>ガク</t>
    </rPh>
    <rPh sb="56" eb="58">
      <t>モクヒョウ</t>
    </rPh>
    <rPh sb="58" eb="60">
      <t>エイギョウ</t>
    </rPh>
    <rPh sb="60" eb="62">
      <t>リエキ</t>
    </rPh>
    <rPh sb="62" eb="63">
      <t>リツ</t>
    </rPh>
    <rPh sb="73" eb="74">
      <t>ホカ</t>
    </rPh>
    <rPh sb="76" eb="78">
      <t>オウヨウ</t>
    </rPh>
    <phoneticPr fontId="3"/>
  </si>
  <si>
    <t>まずはスッキリ1級テキストにある手順通りに手計算をマスターします。</t>
    <rPh sb="8" eb="9">
      <t>キュウ</t>
    </rPh>
    <rPh sb="16" eb="18">
      <t>テジュン</t>
    </rPh>
    <rPh sb="18" eb="19">
      <t>トオ</t>
    </rPh>
    <rPh sb="21" eb="22">
      <t>テ</t>
    </rPh>
    <rPh sb="22" eb="24">
      <t>ケイサン</t>
    </rPh>
    <phoneticPr fontId="3"/>
  </si>
  <si>
    <t>徐々に解きなれてくると、以下エクセル関数のように短時間で一発計算できます。</t>
    <rPh sb="0" eb="2">
      <t>ジョジョ</t>
    </rPh>
    <rPh sb="3" eb="4">
      <t>ト</t>
    </rPh>
    <rPh sb="12" eb="14">
      <t>イカ</t>
    </rPh>
    <rPh sb="18" eb="20">
      <t>カンスウ</t>
    </rPh>
    <rPh sb="24" eb="27">
      <t>タンジカン</t>
    </rPh>
    <rPh sb="28" eb="30">
      <t>イッパツ</t>
    </rPh>
    <rPh sb="30" eb="32">
      <t>ケイサン</t>
    </rPh>
    <phoneticPr fontId="3"/>
  </si>
  <si>
    <t>安全余裕率は｢内掛け｣で求めると覚えておけばOK。</t>
    <rPh sb="0" eb="2">
      <t>アンゼン</t>
    </rPh>
    <rPh sb="2" eb="4">
      <t>ヨユウ</t>
    </rPh>
    <rPh sb="4" eb="5">
      <t>リツ</t>
    </rPh>
    <rPh sb="7" eb="9">
      <t>ウチガ</t>
    </rPh>
    <rPh sb="12" eb="13">
      <t>モト</t>
    </rPh>
    <rPh sb="16" eb="17">
      <t>オボ</t>
    </rPh>
    <phoneticPr fontId="3"/>
  </si>
  <si>
    <t>例題は予想PLを書いて限界利益(率)を求めたが、当問はPL作成が不要でそのまま文章題として解けるパターン。</t>
    <rPh sb="0" eb="2">
      <t>レイダイ</t>
    </rPh>
    <rPh sb="3" eb="5">
      <t>ヨソウ</t>
    </rPh>
    <rPh sb="8" eb="9">
      <t>カ</t>
    </rPh>
    <rPh sb="11" eb="13">
      <t>ゲンカイ</t>
    </rPh>
    <rPh sb="13" eb="15">
      <t>リエキ</t>
    </rPh>
    <rPh sb="16" eb="17">
      <t>リツ</t>
    </rPh>
    <rPh sb="19" eb="20">
      <t>モト</t>
    </rPh>
    <rPh sb="24" eb="25">
      <t>トウ</t>
    </rPh>
    <rPh sb="25" eb="26">
      <t>モン</t>
    </rPh>
    <rPh sb="29" eb="31">
      <t>サクセイ</t>
    </rPh>
    <rPh sb="32" eb="34">
      <t>フヨウ</t>
    </rPh>
    <rPh sb="39" eb="42">
      <t>ブンショウダイ</t>
    </rPh>
    <rPh sb="45" eb="46">
      <t>ト</t>
    </rPh>
    <phoneticPr fontId="3"/>
  </si>
  <si>
    <t>CVP分析は様々なタイプの出題があるため、一般に｢どちらのやり方でも解けるように｣と指導される。</t>
    <rPh sb="3" eb="5">
      <t>ブンセキ</t>
    </rPh>
    <rPh sb="6" eb="8">
      <t>サマザマ</t>
    </rPh>
    <rPh sb="13" eb="15">
      <t>シュツダイ</t>
    </rPh>
    <rPh sb="21" eb="23">
      <t>イッパン</t>
    </rPh>
    <rPh sb="31" eb="32">
      <t>カタ</t>
    </rPh>
    <rPh sb="34" eb="35">
      <t>ト</t>
    </rPh>
    <rPh sb="42" eb="44">
      <t>シドウ</t>
    </rPh>
    <phoneticPr fontId="3"/>
  </si>
  <si>
    <t>診断士受験者によくある自己流・我流の解き方はどこかでドボンするため、まず一旦はテキストの手順通りに解くことが望ましい。</t>
    <rPh sb="0" eb="3">
      <t>シンダンシ</t>
    </rPh>
    <rPh sb="3" eb="6">
      <t>ジュケンシャ</t>
    </rPh>
    <rPh sb="11" eb="14">
      <t>ジコリュウ</t>
    </rPh>
    <rPh sb="15" eb="17">
      <t>ガリュウ</t>
    </rPh>
    <rPh sb="18" eb="19">
      <t>ト</t>
    </rPh>
    <rPh sb="20" eb="21">
      <t>カタ</t>
    </rPh>
    <rPh sb="36" eb="38">
      <t>イッタン</t>
    </rPh>
    <rPh sb="44" eb="46">
      <t>テジュン</t>
    </rPh>
    <rPh sb="46" eb="47">
      <t>トオ</t>
    </rPh>
    <rPh sb="49" eb="50">
      <t>ト</t>
    </rPh>
    <rPh sb="54" eb="55">
      <t>ノゾ</t>
    </rPh>
    <phoneticPr fontId="3"/>
  </si>
  <si>
    <t>第2章 CASE10 CVP分析～応用編</t>
    <rPh sb="0" eb="1">
      <t>ダイ</t>
    </rPh>
    <rPh sb="2" eb="3">
      <t>ショウ</t>
    </rPh>
    <rPh sb="14" eb="16">
      <t>ブンセキ</t>
    </rPh>
    <rPh sb="17" eb="19">
      <t>オウヨウ</t>
    </rPh>
    <rPh sb="19" eb="20">
      <t>ヘン</t>
    </rPh>
    <phoneticPr fontId="3"/>
  </si>
  <si>
    <t>問題⑦：CVP分析～応用編</t>
    <rPh sb="0" eb="2">
      <t>モンダイ</t>
    </rPh>
    <rPh sb="7" eb="9">
      <t>ブンセキ</t>
    </rPh>
    <rPh sb="10" eb="12">
      <t>オウヨウ</t>
    </rPh>
    <rPh sb="12" eb="13">
      <t>ヘン</t>
    </rPh>
    <phoneticPr fontId="3"/>
  </si>
  <si>
    <t>資料</t>
    <rPh sb="0" eb="2">
      <t>シリョウ</t>
    </rPh>
    <phoneticPr fontId="3"/>
  </si>
  <si>
    <t>固定管理費</t>
    <rPh sb="0" eb="2">
      <t>コテイ</t>
    </rPh>
    <rPh sb="2" eb="5">
      <t>カンリヒ</t>
    </rPh>
    <phoneticPr fontId="3"/>
  </si>
  <si>
    <t>変動費</t>
    <rPh sb="0" eb="2">
      <t>ヘンドウ</t>
    </rPh>
    <rPh sb="2" eb="3">
      <t>ヒ</t>
    </rPh>
    <phoneticPr fontId="3"/>
  </si>
  <si>
    <t>限界利益</t>
    <rPh sb="0" eb="2">
      <t>ゲンカイ</t>
    </rPh>
    <rPh sb="2" eb="4">
      <t>リエキ</t>
    </rPh>
    <phoneticPr fontId="3"/>
  </si>
  <si>
    <t>限界利益率</t>
    <rPh sb="0" eb="2">
      <t>ゲンカイ</t>
    </rPh>
    <rPh sb="2" eb="4">
      <t>リエキ</t>
    </rPh>
    <rPh sb="4" eb="5">
      <t>リツ</t>
    </rPh>
    <phoneticPr fontId="3"/>
  </si>
  <si>
    <t>問1 SBEP</t>
    <rPh sb="0" eb="1">
      <t>ト</t>
    </rPh>
    <phoneticPr fontId="3"/>
  </si>
  <si>
    <t>個</t>
    <rPh sb="0" eb="1">
      <t>コ</t>
    </rPh>
    <phoneticPr fontId="3"/>
  </si>
  <si>
    <t>年間計画販売量</t>
    <rPh sb="0" eb="2">
      <t>ネンカン</t>
    </rPh>
    <rPh sb="2" eb="4">
      <t>ケイカク</t>
    </rPh>
    <rPh sb="4" eb="6">
      <t>ハンバイ</t>
    </rPh>
    <rPh sb="6" eb="7">
      <t>リョウ</t>
    </rPh>
    <phoneticPr fontId="3"/>
  </si>
  <si>
    <t>安全余裕率</t>
    <rPh sb="0" eb="2">
      <t>アンゼン</t>
    </rPh>
    <rPh sb="2" eb="4">
      <t>ヨユウ</t>
    </rPh>
    <rPh sb="4" eb="5">
      <t>リツ</t>
    </rPh>
    <phoneticPr fontId="3"/>
  </si>
  <si>
    <t>問2 目標営業利益</t>
    <rPh sb="0" eb="1">
      <t>ト</t>
    </rPh>
    <rPh sb="3" eb="5">
      <t>モクヒョウ</t>
    </rPh>
    <rPh sb="5" eb="7">
      <t>エイギョウ</t>
    </rPh>
    <rPh sb="7" eb="9">
      <t>リエキ</t>
    </rPh>
    <phoneticPr fontId="3"/>
  </si>
  <si>
    <t>目標営業利益</t>
    <rPh sb="0" eb="2">
      <t>モクヒョウ</t>
    </rPh>
    <rPh sb="2" eb="4">
      <t>エイギョウ</t>
    </rPh>
    <rPh sb="4" eb="6">
      <t>リエキ</t>
    </rPh>
    <phoneticPr fontId="3"/>
  </si>
  <si>
    <t>目標売上高</t>
    <rPh sb="0" eb="2">
      <t>モクヒョウ</t>
    </rPh>
    <rPh sb="2" eb="4">
      <t>ウリアゲ</t>
    </rPh>
    <rPh sb="4" eb="5">
      <t>ダカ</t>
    </rPh>
    <phoneticPr fontId="3"/>
  </si>
  <si>
    <t>円</t>
    <rPh sb="0" eb="1">
      <t>エン</t>
    </rPh>
    <phoneticPr fontId="3"/>
  </si>
  <si>
    <t>問3</t>
    <rPh sb="0" eb="1">
      <t>ト</t>
    </rPh>
    <phoneticPr fontId="3"/>
  </si>
  <si>
    <t>予想使用総資本</t>
    <rPh sb="0" eb="2">
      <t>ヨソウ</t>
    </rPh>
    <rPh sb="2" eb="4">
      <t>シヨウ</t>
    </rPh>
    <rPh sb="4" eb="7">
      <t>ソウシホン</t>
    </rPh>
    <phoneticPr fontId="3"/>
  </si>
  <si>
    <t>使用総資本経常利益率</t>
    <rPh sb="0" eb="2">
      <t>シヨウ</t>
    </rPh>
    <rPh sb="2" eb="5">
      <t>ソウシホン</t>
    </rPh>
    <rPh sb="5" eb="7">
      <t>ケイツネ</t>
    </rPh>
    <rPh sb="7" eb="9">
      <t>リエキ</t>
    </rPh>
    <rPh sb="9" eb="10">
      <t>リツ</t>
    </rPh>
    <phoneticPr fontId="3"/>
  </si>
  <si>
    <t>法人税率</t>
    <rPh sb="0" eb="2">
      <t>ホウジン</t>
    </rPh>
    <rPh sb="2" eb="4">
      <t>ゼイリツ</t>
    </rPh>
    <phoneticPr fontId="3"/>
  </si>
  <si>
    <t>目標経常利益(税前)</t>
    <rPh sb="0" eb="2">
      <t>モクヒョウ</t>
    </rPh>
    <rPh sb="2" eb="4">
      <t>ケイツネ</t>
    </rPh>
    <rPh sb="4" eb="6">
      <t>リエキ</t>
    </rPh>
    <rPh sb="7" eb="8">
      <t>ゼイ</t>
    </rPh>
    <rPh sb="8" eb="9">
      <t>マエ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</si>
  <si>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</si>
  <si>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</si>
  <si>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年間目標販売量</t>
    <rPh sb="0" eb="2">
      <t>ネンカン</t>
    </rPh>
    <rPh sb="2" eb="4">
      <t>モクヒョウ</t>
    </rPh>
    <rPh sb="4" eb="6">
      <t>ハンバイ</t>
    </rPh>
    <rPh sb="6" eb="7">
      <t>リョウ</t>
    </rPh>
    <phoneticPr fontId="3"/>
  </si>
  <si>
    <t>問4</t>
    <rPh sb="0" eb="1">
      <t>ト</t>
    </rPh>
    <phoneticPr fontId="3"/>
  </si>
  <si>
    <t>目標売上高をSと置き、方程式で解く</t>
    <rPh sb="0" eb="2">
      <t>モクヒョウ</t>
    </rPh>
    <rPh sb="2" eb="4">
      <t>ウリアゲ</t>
    </rPh>
    <rPh sb="4" eb="5">
      <t>ダカ</t>
    </rPh>
    <rPh sb="8" eb="9">
      <t>オ</t>
    </rPh>
    <rPh sb="11" eb="14">
      <t>ホウテイシキ</t>
    </rPh>
    <rPh sb="15" eb="16">
      <t>ト</t>
    </rPh>
    <phoneticPr fontId="3"/>
  </si>
  <si>
    <t>(0.2S+24,400,000)×15%÷60%＝0.05S+6,100,000</t>
    <phoneticPr fontId="3"/>
  </si>
  <si>
    <t>修正後固定費</t>
    <rPh sb="0" eb="2">
      <t>シュウセイ</t>
    </rPh>
    <rPh sb="2" eb="3">
      <t>ゴ</t>
    </rPh>
    <rPh sb="3" eb="6">
      <t>コテイヒ</t>
    </rPh>
    <phoneticPr fontId="3"/>
  </si>
  <si>
    <t>0.05S+21,450,000</t>
    <phoneticPr fontId="3"/>
  </si>
  <si>
    <t>+</t>
    <phoneticPr fontId="3"/>
  </si>
  <si>
    <t>=0.7S</t>
    <phoneticPr fontId="3"/>
  </si>
  <si>
    <t>修正後固定費＝</t>
    <rPh sb="0" eb="2">
      <t>シュウセイ</t>
    </rPh>
    <rPh sb="2" eb="3">
      <t>ゴ</t>
    </rPh>
    <rPh sb="3" eb="6">
      <t>コテイヒ</t>
    </rPh>
    <phoneticPr fontId="3"/>
  </si>
  <si>
    <t>限界利益 となるSを求める</t>
    <rPh sb="0" eb="2">
      <t>ゲンカイ</t>
    </rPh>
    <rPh sb="2" eb="4">
      <t>リエキ</t>
    </rPh>
    <rPh sb="10" eb="11">
      <t>モト</t>
    </rPh>
    <phoneticPr fontId="3"/>
  </si>
  <si>
    <t>資料 【CASE9から】</t>
    <rPh sb="0" eb="2">
      <t>シリョウ</t>
    </rPh>
    <phoneticPr fontId="3"/>
  </si>
  <si>
    <t>例題：CVP分析～応用編</t>
    <rPh sb="0" eb="2">
      <t>レイダイ</t>
    </rPh>
    <rPh sb="6" eb="8">
      <t>ブンセキ</t>
    </rPh>
    <rPh sb="9" eb="11">
      <t>オウヨウ</t>
    </rPh>
    <rPh sb="11" eb="12">
      <t>ヘン</t>
    </rPh>
    <phoneticPr fontId="3"/>
  </si>
  <si>
    <t>次年度予想使用総資本</t>
    <rPh sb="0" eb="3">
      <t>ジネンド</t>
    </rPh>
    <rPh sb="3" eb="5">
      <t>ヨソウ</t>
    </rPh>
    <rPh sb="5" eb="7">
      <t>シヨウ</t>
    </rPh>
    <rPh sb="7" eb="10">
      <t>ソウシホン</t>
    </rPh>
    <phoneticPr fontId="3"/>
  </si>
  <si>
    <t>税引後使用総資本経常利益率</t>
    <rPh sb="0" eb="2">
      <t>ゼイビキ</t>
    </rPh>
    <rPh sb="2" eb="3">
      <t>ゴ</t>
    </rPh>
    <rPh sb="3" eb="5">
      <t>シヨウ</t>
    </rPh>
    <rPh sb="5" eb="8">
      <t>ソウシホン</t>
    </rPh>
    <rPh sb="8" eb="10">
      <t>ケイツネ</t>
    </rPh>
    <rPh sb="10" eb="12">
      <t>リエキ</t>
    </rPh>
    <rPh sb="12" eb="13">
      <t>リツ</t>
    </rPh>
    <phoneticPr fontId="3"/>
  </si>
  <si>
    <t>追加資料</t>
    <rPh sb="0" eb="2">
      <t>ツイカ</t>
    </rPh>
    <rPh sb="2" eb="4">
      <t>シリョウ</t>
    </rPh>
    <phoneticPr fontId="3"/>
  </si>
  <si>
    <t>目標税前経常利益</t>
    <rPh sb="0" eb="2">
      <t>モクヒョウ</t>
    </rPh>
    <rPh sb="2" eb="3">
      <t>ゼイ</t>
    </rPh>
    <rPh sb="3" eb="4">
      <t>マエ</t>
    </rPh>
    <rPh sb="4" eb="6">
      <t>ケイツネ</t>
    </rPh>
    <rPh sb="6" eb="8">
      <t>リエキ</t>
    </rPh>
    <phoneticPr fontId="3"/>
  </si>
  <si>
    <t>固定費(修正前)</t>
    <rPh sb="0" eb="3">
      <t>コテイヒ</t>
    </rPh>
    <rPh sb="4" eb="6">
      <t>シュウセイ</t>
    </rPh>
    <rPh sb="6" eb="7">
      <t>マエ</t>
    </rPh>
    <phoneticPr fontId="3"/>
  </si>
  <si>
    <t>固定費(修正後)</t>
    <rPh sb="0" eb="3">
      <t>コテイヒ</t>
    </rPh>
    <rPh sb="4" eb="6">
      <t>シュウセイ</t>
    </rPh>
    <rPh sb="6" eb="7">
      <t>ゴ</t>
    </rPh>
    <phoneticPr fontId="3"/>
  </si>
  <si>
    <t>←固定費から減算</t>
    <rPh sb="1" eb="4">
      <t>コテイヒ</t>
    </rPh>
    <rPh sb="6" eb="8">
      <t>ゲンサン</t>
    </rPh>
    <phoneticPr fontId="3"/>
  </si>
  <si>
    <t>←固定費に加算</t>
    <rPh sb="1" eb="4">
      <t>コテイヒ</t>
    </rPh>
    <rPh sb="5" eb="7">
      <t>カサン</t>
    </rPh>
    <phoneticPr fontId="3"/>
  </si>
  <si>
    <t>目標経常利益額を達成する販売量</t>
    <rPh sb="0" eb="2">
      <t>モクヒョウ</t>
    </rPh>
    <rPh sb="2" eb="4">
      <t>ケイツネ</t>
    </rPh>
    <rPh sb="4" eb="6">
      <t>リエキ</t>
    </rPh>
    <rPh sb="6" eb="7">
      <t>ガク</t>
    </rPh>
    <rPh sb="8" eb="10">
      <t>タッセイ</t>
    </rPh>
    <rPh sb="12" eb="14">
      <t>ハンバイ</t>
    </rPh>
    <rPh sb="14" eb="15">
      <t>リョウ</t>
    </rPh>
    <phoneticPr fontId="3"/>
  </si>
  <si>
    <t>CVP分析の応用、つまり良く言えば実務的、悪く言えば意地悪をしたい場合は、様々な簿記論点が計算条件に追加される。</t>
    <rPh sb="3" eb="5">
      <t>ブンセキ</t>
    </rPh>
    <rPh sb="6" eb="8">
      <t>オウヨウ</t>
    </rPh>
    <rPh sb="12" eb="13">
      <t>ヨ</t>
    </rPh>
    <rPh sb="14" eb="15">
      <t>イ</t>
    </rPh>
    <rPh sb="17" eb="20">
      <t>ジツムテキ</t>
    </rPh>
    <rPh sb="21" eb="22">
      <t>ワル</t>
    </rPh>
    <rPh sb="23" eb="24">
      <t>イ</t>
    </rPh>
    <rPh sb="26" eb="29">
      <t>イジワル</t>
    </rPh>
    <rPh sb="33" eb="35">
      <t>バアイ</t>
    </rPh>
    <rPh sb="37" eb="39">
      <t>サマザマ</t>
    </rPh>
    <rPh sb="40" eb="42">
      <t>ボキ</t>
    </rPh>
    <rPh sb="42" eb="44">
      <t>ロンテン</t>
    </rPh>
    <rPh sb="45" eb="47">
      <t>ケイサン</t>
    </rPh>
    <rPh sb="47" eb="49">
      <t>ジョウケン</t>
    </rPh>
    <rPh sb="50" eb="52">
      <t>ツイカ</t>
    </rPh>
    <phoneticPr fontId="3"/>
  </si>
  <si>
    <t>まずその代表例として、経常利益、税率、営業外収益/費用の計算例を見ておく。</t>
    <rPh sb="4" eb="6">
      <t>ダイヒョウ</t>
    </rPh>
    <rPh sb="6" eb="7">
      <t>レイ</t>
    </rPh>
    <rPh sb="11" eb="13">
      <t>ケイツネ</t>
    </rPh>
    <rPh sb="13" eb="15">
      <t>リエキ</t>
    </rPh>
    <rPh sb="16" eb="18">
      <t>ゼイリツ</t>
    </rPh>
    <rPh sb="19" eb="22">
      <t>エイギョウガイ</t>
    </rPh>
    <rPh sb="22" eb="24">
      <t>シュウエキ</t>
    </rPh>
    <rPh sb="25" eb="27">
      <t>ヒヨウ</t>
    </rPh>
    <rPh sb="28" eb="30">
      <t>ケイサン</t>
    </rPh>
    <rPh sb="30" eb="31">
      <t>レイ</t>
    </rPh>
    <rPh sb="32" eb="33">
      <t>ミ</t>
    </rPh>
    <phoneticPr fontId="3"/>
  </si>
  <si>
    <t>※結局は限界利益率で割る前の固定費の加減算なので、簿記未習の方は深追いしなくてOK。</t>
    <rPh sb="1" eb="3">
      <t>ケッキョク</t>
    </rPh>
    <rPh sb="4" eb="6">
      <t>ゲンカイ</t>
    </rPh>
    <rPh sb="6" eb="8">
      <t>リエキ</t>
    </rPh>
    <rPh sb="8" eb="9">
      <t>リツ</t>
    </rPh>
    <rPh sb="10" eb="11">
      <t>ワ</t>
    </rPh>
    <rPh sb="12" eb="13">
      <t>マエ</t>
    </rPh>
    <rPh sb="14" eb="17">
      <t>コテイヒ</t>
    </rPh>
    <rPh sb="18" eb="20">
      <t>カゲン</t>
    </rPh>
    <rPh sb="20" eb="21">
      <t>サン</t>
    </rPh>
    <rPh sb="25" eb="27">
      <t>ボキ</t>
    </rPh>
    <rPh sb="27" eb="29">
      <t>ミシュウ</t>
    </rPh>
    <rPh sb="30" eb="31">
      <t>カタ</t>
    </rPh>
    <rPh sb="32" eb="34">
      <t>フカオ</t>
    </rPh>
    <phoneticPr fontId="3"/>
  </si>
  <si>
    <t>問1～3までは、実際にエクセルを使うとすぐ解ける。</t>
    <rPh sb="0" eb="1">
      <t>ト</t>
    </rPh>
    <rPh sb="8" eb="10">
      <t>ジッサイ</t>
    </rPh>
    <rPh sb="16" eb="17">
      <t>ツカ</t>
    </rPh>
    <rPh sb="21" eb="22">
      <t>ト</t>
    </rPh>
    <phoneticPr fontId="3"/>
  </si>
  <si>
    <t>問4は目標営業利益が売上高Sにより変動するため、方程式で解くしかない。</t>
    <rPh sb="0" eb="1">
      <t>ト</t>
    </rPh>
    <rPh sb="3" eb="5">
      <t>モクヒョウ</t>
    </rPh>
    <rPh sb="5" eb="7">
      <t>エイギョウ</t>
    </rPh>
    <rPh sb="7" eb="9">
      <t>リエキ</t>
    </rPh>
    <rPh sb="10" eb="12">
      <t>ウリアゲ</t>
    </rPh>
    <rPh sb="12" eb="13">
      <t>ダカ</t>
    </rPh>
    <rPh sb="17" eb="19">
      <t>ヘンドウ</t>
    </rPh>
    <rPh sb="24" eb="27">
      <t>ホウテイシキ</t>
    </rPh>
    <rPh sb="28" eb="29">
      <t>ト</t>
    </rPh>
    <phoneticPr fontId="3"/>
  </si>
  <si>
    <t>CVPが難化すると方程式で解くケースが増える。方程式にはエクセル解きは不向きなので、問4は手で解く方が良さそう。</t>
    <rPh sb="4" eb="6">
      <t>ナンカ</t>
    </rPh>
    <rPh sb="9" eb="12">
      <t>ホウテイシキ</t>
    </rPh>
    <rPh sb="13" eb="14">
      <t>ト</t>
    </rPh>
    <rPh sb="19" eb="20">
      <t>フ</t>
    </rPh>
    <rPh sb="23" eb="26">
      <t>ホウテイシキ</t>
    </rPh>
    <rPh sb="32" eb="33">
      <t>ト</t>
    </rPh>
    <rPh sb="35" eb="37">
      <t>フム</t>
    </rPh>
    <rPh sb="42" eb="43">
      <t>トイ</t>
    </rPh>
    <rPh sb="45" eb="46">
      <t>テ</t>
    </rPh>
    <rPh sb="47" eb="48">
      <t>ト</t>
    </rPh>
    <rPh sb="49" eb="50">
      <t>ホウ</t>
    </rPh>
    <rPh sb="51" eb="52">
      <t>ヨ</t>
    </rPh>
    <phoneticPr fontId="3"/>
  </si>
  <si>
    <t>資料</t>
    <rPh sb="0" eb="2">
      <t>シリョウ</t>
    </rPh>
    <phoneticPr fontId="3"/>
  </si>
  <si>
    <t>販売単価</t>
    <rPh sb="0" eb="2">
      <t>ハンバイ</t>
    </rPh>
    <rPh sb="2" eb="4">
      <t>タンカ</t>
    </rPh>
    <phoneticPr fontId="3"/>
  </si>
  <si>
    <t>変動製造原価</t>
    <rPh sb="0" eb="2">
      <t>ヘンドウ</t>
    </rPh>
    <rPh sb="2" eb="4">
      <t>セイゾウ</t>
    </rPh>
    <rPh sb="4" eb="6">
      <t>ゲンカ</t>
    </rPh>
    <phoneticPr fontId="3"/>
  </si>
  <si>
    <t>変動販売費</t>
    <rPh sb="0" eb="2">
      <t>ヘンドウ</t>
    </rPh>
    <rPh sb="2" eb="5">
      <t>ハンバイヒ</t>
    </rPh>
    <phoneticPr fontId="3"/>
  </si>
  <si>
    <t>固定製造原価</t>
    <rPh sb="0" eb="2">
      <t>コテイ</t>
    </rPh>
    <rPh sb="2" eb="4">
      <t>セイゾウ</t>
    </rPh>
    <rPh sb="4" eb="6">
      <t>ゲンカ</t>
    </rPh>
    <phoneticPr fontId="3"/>
  </si>
  <si>
    <t>固定販売費</t>
    <rPh sb="0" eb="2">
      <t>コテイ</t>
    </rPh>
    <rPh sb="2" eb="5">
      <t>ハンバイヒ</t>
    </rPh>
    <phoneticPr fontId="3"/>
  </si>
  <si>
    <t>固定管理費</t>
    <rPh sb="0" eb="2">
      <t>コテイ</t>
    </rPh>
    <rPh sb="2" eb="5">
      <t>カンリヒ</t>
    </rPh>
    <phoneticPr fontId="3"/>
  </si>
  <si>
    <t>製品A</t>
    <rPh sb="0" eb="2">
      <t>セイヒン</t>
    </rPh>
    <phoneticPr fontId="3"/>
  </si>
  <si>
    <t>製品B</t>
    <rPh sb="0" eb="2">
      <t>セイヒン</t>
    </rPh>
    <phoneticPr fontId="3"/>
  </si>
  <si>
    <t>製品C</t>
    <rPh sb="0" eb="2">
      <t>セイヒン</t>
    </rPh>
    <phoneticPr fontId="3"/>
  </si>
  <si>
    <t>セールスミックス(量)</t>
    <rPh sb="9" eb="10">
      <t>リョウ</t>
    </rPh>
    <phoneticPr fontId="3"/>
  </si>
  <si>
    <t>組製品</t>
    <rPh sb="0" eb="1">
      <t>クミ</t>
    </rPh>
    <rPh sb="1" eb="3">
      <t>セイヒン</t>
    </rPh>
    <phoneticPr fontId="3"/>
  </si>
  <si>
    <t>限界利益</t>
    <rPh sb="0" eb="2">
      <t>ゲンカイ</t>
    </rPh>
    <rPh sb="2" eb="4">
      <t>リエキ</t>
    </rPh>
    <phoneticPr fontId="3"/>
  </si>
  <si>
    <t>率</t>
    <rPh sb="0" eb="1">
      <t>リツ</t>
    </rPh>
    <phoneticPr fontId="3"/>
  </si>
  <si>
    <t>問1</t>
    <rPh sb="0" eb="1">
      <t>ト</t>
    </rPh>
    <phoneticPr fontId="3"/>
  </si>
  <si>
    <t>SBEP</t>
    <phoneticPr fontId="3"/>
  </si>
  <si>
    <t>目標営業利益</t>
    <rPh sb="0" eb="2">
      <t>モクヒョウ</t>
    </rPh>
    <rPh sb="2" eb="4">
      <t>エイギョウ</t>
    </rPh>
    <rPh sb="4" eb="6">
      <t>リエキ</t>
    </rPh>
    <phoneticPr fontId="3"/>
  </si>
  <si>
    <t>販売量</t>
    <rPh sb="0" eb="2">
      <t>ハンバイ</t>
    </rPh>
    <rPh sb="2" eb="3">
      <t>リョウ</t>
    </rPh>
    <phoneticPr fontId="3"/>
  </si>
  <si>
    <t>問2</t>
    <rPh sb="0" eb="1">
      <t>ト</t>
    </rPh>
    <phoneticPr fontId="3"/>
  </si>
  <si>
    <t>セールスミックス(金額から)</t>
    <rPh sb="9" eb="11">
      <t>キンガク</t>
    </rPh>
    <phoneticPr fontId="3"/>
  </si>
  <si>
    <t>変動費単価</t>
    <rPh sb="0" eb="2">
      <t>ヘンドウ</t>
    </rPh>
    <rPh sb="2" eb="3">
      <t>ヒ</t>
    </rPh>
    <rPh sb="3" eb="5">
      <t>タンカ</t>
    </rPh>
    <phoneticPr fontId="3"/>
  </si>
  <si>
    <t>固定費</t>
    <rPh sb="0" eb="3">
      <t>コテイヒ</t>
    </rPh>
    <phoneticPr fontId="3"/>
  </si>
  <si>
    <t>個</t>
    <rPh sb="0" eb="1">
      <t>コ</t>
    </rPh>
    <phoneticPr fontId="3"/>
  </si>
  <si>
    <t>第2章 CASE11 感度分析</t>
    <rPh sb="0" eb="1">
      <t>ダイ</t>
    </rPh>
    <rPh sb="2" eb="3">
      <t>ショウ</t>
    </rPh>
    <rPh sb="11" eb="13">
      <t>カンド</t>
    </rPh>
    <rPh sb="13" eb="15">
      <t>ブンセキ</t>
    </rPh>
    <phoneticPr fontId="3"/>
  </si>
  <si>
    <t>資料</t>
    <rPh sb="0" eb="2">
      <t>シリョウ</t>
    </rPh>
    <phoneticPr fontId="3"/>
  </si>
  <si>
    <t>売上高</t>
    <rPh sb="0" eb="2">
      <t>ウリアゲ</t>
    </rPh>
    <rPh sb="2" eb="3">
      <t>ダカ</t>
    </rPh>
    <phoneticPr fontId="3"/>
  </si>
  <si>
    <t>変動売上原価</t>
    <rPh sb="0" eb="2">
      <t>ヘンドウ</t>
    </rPh>
    <rPh sb="2" eb="4">
      <t>ウリアゲ</t>
    </rPh>
    <rPh sb="4" eb="6">
      <t>ゲンカ</t>
    </rPh>
    <phoneticPr fontId="3"/>
  </si>
  <si>
    <t>変動販売費</t>
    <rPh sb="0" eb="2">
      <t>ヘンドウ</t>
    </rPh>
    <rPh sb="2" eb="5">
      <t>ハンバイヒ</t>
    </rPh>
    <phoneticPr fontId="3"/>
  </si>
  <si>
    <t xml:space="preserve">  貢献利益</t>
    <rPh sb="2" eb="4">
      <t>コウケン</t>
    </rPh>
    <rPh sb="4" eb="6">
      <t>リエキ</t>
    </rPh>
    <phoneticPr fontId="3"/>
  </si>
  <si>
    <t>固定製造原価</t>
    <rPh sb="0" eb="2">
      <t>コテイ</t>
    </rPh>
    <rPh sb="2" eb="4">
      <t>セイゾウ</t>
    </rPh>
    <rPh sb="4" eb="6">
      <t>ゲンカ</t>
    </rPh>
    <phoneticPr fontId="3"/>
  </si>
  <si>
    <t>固定販管費</t>
    <rPh sb="0" eb="2">
      <t>コテイ</t>
    </rPh>
    <rPh sb="2" eb="5">
      <t>ハンカンヒ</t>
    </rPh>
    <phoneticPr fontId="3"/>
  </si>
  <si>
    <t xml:space="preserve">  営業利益</t>
    <rPh sb="2" eb="4">
      <t>エイギョウ</t>
    </rPh>
    <rPh sb="4" eb="6">
      <t>リエキ</t>
    </rPh>
    <phoneticPr fontId="3"/>
  </si>
  <si>
    <t>予定損益計算書</t>
    <rPh sb="0" eb="2">
      <t>ヨテイ</t>
    </rPh>
    <rPh sb="2" eb="4">
      <t>ソンエキ</t>
    </rPh>
    <rPh sb="4" eb="7">
      <t>ケイサンショ</t>
    </rPh>
    <phoneticPr fontId="3"/>
  </si>
  <si>
    <t>単価</t>
    <rPh sb="0" eb="2">
      <t>タンカ</t>
    </rPh>
    <phoneticPr fontId="3"/>
  </si>
  <si>
    <t>個数</t>
    <rPh sb="0" eb="2">
      <t>コスウ</t>
    </rPh>
    <phoneticPr fontId="3"/>
  </si>
  <si>
    <t>金額</t>
    <rPh sb="0" eb="2">
      <t>キンガク</t>
    </rPh>
    <phoneticPr fontId="3"/>
  </si>
  <si>
    <t>(1)販売価格を5%値上げ</t>
    <rPh sb="3" eb="5">
      <t>ハンバイ</t>
    </rPh>
    <rPh sb="5" eb="7">
      <t>カカク</t>
    </rPh>
    <rPh sb="10" eb="12">
      <t>ネア</t>
    </rPh>
    <phoneticPr fontId="3"/>
  </si>
  <si>
    <t>(2)販売量が10%増加</t>
    <rPh sb="3" eb="5">
      <t>ハンバイ</t>
    </rPh>
    <rPh sb="5" eb="6">
      <t>リョウ</t>
    </rPh>
    <rPh sb="10" eb="12">
      <t>ゾウカ</t>
    </rPh>
    <phoneticPr fontId="3"/>
  </si>
  <si>
    <t>(3)販売価格を8%値下げし、販売量が25%増加</t>
    <rPh sb="3" eb="5">
      <t>ハンバイ</t>
    </rPh>
    <rPh sb="5" eb="7">
      <t>カカク</t>
    </rPh>
    <rPh sb="10" eb="12">
      <t>ネサ</t>
    </rPh>
    <rPh sb="15" eb="17">
      <t>ハンバイ</t>
    </rPh>
    <rPh sb="17" eb="18">
      <t>リョウ</t>
    </rPh>
    <rPh sb="22" eb="24">
      <t>ゾウカ</t>
    </rPh>
    <phoneticPr fontId="3"/>
  </si>
  <si>
    <t>(4)変動販売費を10%引き上げ</t>
    <rPh sb="3" eb="5">
      <t>ヘンドウ</t>
    </rPh>
    <rPh sb="5" eb="8">
      <t>ハンバイヒ</t>
    </rPh>
    <rPh sb="12" eb="13">
      <t>ヒ</t>
    </rPh>
    <rPh sb="14" eb="15">
      <t>ア</t>
    </rPh>
    <phoneticPr fontId="3"/>
  </si>
  <si>
    <t>(5)固定製造費を10,000円増加</t>
    <rPh sb="3" eb="5">
      <t>コテイ</t>
    </rPh>
    <rPh sb="5" eb="7">
      <t>セイゾウ</t>
    </rPh>
    <rPh sb="7" eb="8">
      <t>ヒ</t>
    </rPh>
    <rPh sb="15" eb="16">
      <t>エン</t>
    </rPh>
    <rPh sb="16" eb="18">
      <t>ゾウカ</t>
    </rPh>
    <phoneticPr fontId="3"/>
  </si>
  <si>
    <t>例題：感度分析</t>
    <rPh sb="0" eb="2">
      <t>レイダイ</t>
    </rPh>
    <rPh sb="3" eb="5">
      <t>カンド</t>
    </rPh>
    <rPh sb="5" eb="7">
      <t>ブンセキ</t>
    </rPh>
    <phoneticPr fontId="3"/>
  </si>
  <si>
    <t>CVP分析のメリットとして、予定損益計算書を一度作った後、価格や量の上げ下げによる利益の変動をシミュレーションできます。</t>
    <rPh sb="3" eb="5">
      <t>ブンセキ</t>
    </rPh>
    <rPh sb="14" eb="16">
      <t>ヨテイ</t>
    </rPh>
    <rPh sb="16" eb="18">
      <t>ソンエキ</t>
    </rPh>
    <rPh sb="18" eb="21">
      <t>ケイサンショ</t>
    </rPh>
    <rPh sb="22" eb="24">
      <t>イチド</t>
    </rPh>
    <rPh sb="24" eb="25">
      <t>ツク</t>
    </rPh>
    <rPh sb="27" eb="28">
      <t>アト</t>
    </rPh>
    <rPh sb="29" eb="31">
      <t>カカク</t>
    </rPh>
    <rPh sb="32" eb="33">
      <t>リョウ</t>
    </rPh>
    <rPh sb="34" eb="35">
      <t>ア</t>
    </rPh>
    <rPh sb="36" eb="37">
      <t>サ</t>
    </rPh>
    <rPh sb="41" eb="43">
      <t>リエキ</t>
    </rPh>
    <rPh sb="44" eb="46">
      <t>ヘンドウ</t>
    </rPh>
    <phoneticPr fontId="3"/>
  </si>
  <si>
    <t>試験対策上はこのパターンの計算練習をしておき、本試験ではこれらを組み合わせた形で出題される。これを｢感度分析｣と言います。</t>
    <rPh sb="0" eb="2">
      <t>シケン</t>
    </rPh>
    <rPh sb="2" eb="4">
      <t>タイサク</t>
    </rPh>
    <rPh sb="4" eb="5">
      <t>ジョウ</t>
    </rPh>
    <rPh sb="13" eb="15">
      <t>ケイサン</t>
    </rPh>
    <rPh sb="15" eb="17">
      <t>レンシュウ</t>
    </rPh>
    <rPh sb="23" eb="26">
      <t>ホンシケン</t>
    </rPh>
    <rPh sb="32" eb="33">
      <t>ク</t>
    </rPh>
    <rPh sb="34" eb="35">
      <t>ア</t>
    </rPh>
    <rPh sb="38" eb="39">
      <t>カタチ</t>
    </rPh>
    <rPh sb="40" eb="42">
      <t>シュツダイ</t>
    </rPh>
    <rPh sb="50" eb="52">
      <t>カンド</t>
    </rPh>
    <rPh sb="52" eb="54">
      <t>ブンセキ</t>
    </rPh>
    <rPh sb="56" eb="57">
      <t>イ</t>
    </rPh>
    <phoneticPr fontId="3"/>
  </si>
  <si>
    <t>例題：多品種製品のCVP分析</t>
    <rPh sb="0" eb="2">
      <t>レイダイ</t>
    </rPh>
    <rPh sb="3" eb="6">
      <t>タヒンシュ</t>
    </rPh>
    <rPh sb="6" eb="8">
      <t>セイヒン</t>
    </rPh>
    <rPh sb="12" eb="14">
      <t>ブンセキ</t>
    </rPh>
    <phoneticPr fontId="3"/>
  </si>
  <si>
    <t>多品種製品といっても、業務的意思決定でやる｢組製品(セールス・ミックス)｣のことで、最小パターンのセットで計算するだけ。</t>
    <rPh sb="0" eb="3">
      <t>タヒンシュ</t>
    </rPh>
    <rPh sb="3" eb="5">
      <t>セイヒン</t>
    </rPh>
    <rPh sb="11" eb="14">
      <t>ギョウムテキ</t>
    </rPh>
    <rPh sb="14" eb="16">
      <t>イシ</t>
    </rPh>
    <rPh sb="16" eb="18">
      <t>ケッテイ</t>
    </rPh>
    <rPh sb="22" eb="23">
      <t>クミ</t>
    </rPh>
    <rPh sb="23" eb="25">
      <t>セイヒン</t>
    </rPh>
    <rPh sb="42" eb="44">
      <t>サイショウ</t>
    </rPh>
    <rPh sb="53" eb="55">
      <t>ケイサン</t>
    </rPh>
    <phoneticPr fontId="3"/>
  </si>
  <si>
    <t>単なる計算問題です。</t>
    <rPh sb="0" eb="1">
      <t>タン</t>
    </rPh>
    <rPh sb="3" eb="5">
      <t>ケイサン</t>
    </rPh>
    <rPh sb="5" eb="7">
      <t>モンダイ</t>
    </rPh>
    <phoneticPr fontId="3"/>
  </si>
  <si>
    <t>問題⑧：多品種製品のCVP分析</t>
    <rPh sb="0" eb="2">
      <t>モンダイ</t>
    </rPh>
    <rPh sb="4" eb="7">
      <t>タヒンシュ</t>
    </rPh>
    <rPh sb="7" eb="9">
      <t>セイヒン</t>
    </rPh>
    <rPh sb="13" eb="15">
      <t>ブンセキ</t>
    </rPh>
    <phoneticPr fontId="3"/>
  </si>
  <si>
    <t>例題同様に、｢(個数でなく)金額ベースの組製品｣があるので計算が煩雑。</t>
    <rPh sb="0" eb="2">
      <t>レイダイ</t>
    </rPh>
    <rPh sb="2" eb="4">
      <t>ドウヨウ</t>
    </rPh>
    <rPh sb="8" eb="10">
      <t>コスウ</t>
    </rPh>
    <rPh sb="14" eb="16">
      <t>キンガク</t>
    </rPh>
    <rPh sb="20" eb="21">
      <t>クミ</t>
    </rPh>
    <rPh sb="21" eb="23">
      <t>セイヒン</t>
    </rPh>
    <rPh sb="29" eb="31">
      <t>ケイサン</t>
    </rPh>
    <rPh sb="32" eb="34">
      <t>ハンザツ</t>
    </rPh>
    <phoneticPr fontId="3"/>
  </si>
  <si>
    <t>方程式を解きなれておく、計算問題です。</t>
    <rPh sb="0" eb="3">
      <t>ホウテイシキ</t>
    </rPh>
    <rPh sb="4" eb="5">
      <t>ト</t>
    </rPh>
    <rPh sb="12" eb="14">
      <t>ケイサン</t>
    </rPh>
    <rPh sb="14" eb="16">
      <t>モンダイ</t>
    </rPh>
    <phoneticPr fontId="3"/>
  </si>
  <si>
    <t>第3章 CASE13 最適セールス・ミックスの決定</t>
    <rPh sb="0" eb="1">
      <t>ダイ</t>
    </rPh>
    <rPh sb="2" eb="3">
      <t>ショウ</t>
    </rPh>
    <rPh sb="11" eb="13">
      <t>サイテキ</t>
    </rPh>
    <rPh sb="23" eb="25">
      <t>ケッテイ</t>
    </rPh>
    <phoneticPr fontId="3"/>
  </si>
  <si>
    <t>問題⑨：最適セールス・ミックスの決定</t>
    <rPh sb="0" eb="2">
      <t>モンダイ</t>
    </rPh>
    <rPh sb="4" eb="6">
      <t>サイテキ</t>
    </rPh>
    <rPh sb="16" eb="18">
      <t>ケッテイ</t>
    </rPh>
    <phoneticPr fontId="3"/>
  </si>
  <si>
    <t>共通年間固定費</t>
    <rPh sb="0" eb="2">
      <t>キョウツウ</t>
    </rPh>
    <rPh sb="2" eb="4">
      <t>ネンカン</t>
    </rPh>
    <rPh sb="4" eb="7">
      <t>コテイヒ</t>
    </rPh>
    <phoneticPr fontId="3"/>
  </si>
  <si>
    <t>機械加工部</t>
    <rPh sb="0" eb="2">
      <t>キカイ</t>
    </rPh>
    <rPh sb="2" eb="4">
      <t>カコウ</t>
    </rPh>
    <rPh sb="4" eb="5">
      <t>ブ</t>
    </rPh>
    <phoneticPr fontId="3"/>
  </si>
  <si>
    <t>組立部</t>
    <rPh sb="0" eb="2">
      <t>クミタテ</t>
    </rPh>
    <rPh sb="2" eb="3">
      <t>ブ</t>
    </rPh>
    <phoneticPr fontId="3"/>
  </si>
  <si>
    <t>標準作業時間</t>
    <rPh sb="0" eb="2">
      <t>ヒョウジュン</t>
    </rPh>
    <rPh sb="2" eb="4">
      <t>サギョウ</t>
    </rPh>
    <rPh sb="4" eb="6">
      <t>ジカン</t>
    </rPh>
    <phoneticPr fontId="3"/>
  </si>
  <si>
    <t>限界利益単価</t>
    <rPh sb="0" eb="2">
      <t>ゲンカイ</t>
    </rPh>
    <rPh sb="2" eb="4">
      <t>リエキ</t>
    </rPh>
    <rPh sb="4" eb="6">
      <t>タンカ</t>
    </rPh>
    <phoneticPr fontId="3"/>
  </si>
  <si>
    <t>需要限度</t>
    <rPh sb="0" eb="2">
      <t>ジュヨウ</t>
    </rPh>
    <rPh sb="2" eb="4">
      <t>ゲンド</t>
    </rPh>
    <phoneticPr fontId="3"/>
  </si>
  <si>
    <t>問1 組製品  3:2で販売した時のSBEP</t>
    <rPh sb="0" eb="1">
      <t>ト</t>
    </rPh>
    <rPh sb="3" eb="4">
      <t>クミ</t>
    </rPh>
    <rPh sb="4" eb="6">
      <t>セイヒン</t>
    </rPh>
    <rPh sb="12" eb="14">
      <t>ハンバイ</t>
    </rPh>
    <rPh sb="16" eb="17">
      <t>トキ</t>
    </rPh>
    <phoneticPr fontId="3"/>
  </si>
  <si>
    <t>セールスミックス</t>
    <phoneticPr fontId="3"/>
  </si>
  <si>
    <t>SBEP</t>
    <phoneticPr fontId="3"/>
  </si>
  <si>
    <t>セット</t>
    <phoneticPr fontId="3"/>
  </si>
  <si>
    <t>問2 制約条件 ～年間機械加工時間が上限1,800h</t>
    <rPh sb="0" eb="1">
      <t>ト</t>
    </rPh>
    <rPh sb="3" eb="5">
      <t>セイヤク</t>
    </rPh>
    <rPh sb="5" eb="7">
      <t>ジョウケン</t>
    </rPh>
    <rPh sb="9" eb="11">
      <t>ネンカン</t>
    </rPh>
    <rPh sb="11" eb="13">
      <t>キカイ</t>
    </rPh>
    <rPh sb="13" eb="15">
      <t>カコウ</t>
    </rPh>
    <rPh sb="15" eb="17">
      <t>ジカン</t>
    </rPh>
    <rPh sb="18" eb="20">
      <t>ジョウゲン</t>
    </rPh>
    <phoneticPr fontId="3"/>
  </si>
  <si>
    <t>制約条件あたり限利</t>
    <rPh sb="0" eb="2">
      <t>セイヤク</t>
    </rPh>
    <rPh sb="2" eb="4">
      <t>ジョウケン</t>
    </rPh>
    <rPh sb="7" eb="8">
      <t>キリ</t>
    </rPh>
    <rPh sb="8" eb="9">
      <t>リ</t>
    </rPh>
    <phoneticPr fontId="3"/>
  </si>
  <si>
    <t>最適セールス・ミックス</t>
    <rPh sb="0" eb="2">
      <t>サイテキ</t>
    </rPh>
    <phoneticPr fontId="3"/>
  </si>
  <si>
    <t>年間機械加工時間</t>
    <rPh sb="0" eb="2">
      <t>ネンカン</t>
    </rPh>
    <rPh sb="2" eb="4">
      <t>キカイ</t>
    </rPh>
    <rPh sb="4" eb="6">
      <t>カコウ</t>
    </rPh>
    <rPh sb="6" eb="8">
      <t>ジカン</t>
    </rPh>
    <phoneticPr fontId="3"/>
  </si>
  <si>
    <t>h</t>
    <phoneticPr fontId="3"/>
  </si>
  <si>
    <t>←制約条件あたり限界利益を求め、この単価が高い順に売れる上限まで目一杯作る。</t>
    <rPh sb="1" eb="3">
      <t>セイヤク</t>
    </rPh>
    <rPh sb="3" eb="5">
      <t>ジョウケン</t>
    </rPh>
    <rPh sb="8" eb="10">
      <t>ゲンカイ</t>
    </rPh>
    <rPh sb="10" eb="12">
      <t>リエキ</t>
    </rPh>
    <rPh sb="13" eb="14">
      <t>モト</t>
    </rPh>
    <rPh sb="18" eb="20">
      <t>タンカ</t>
    </rPh>
    <rPh sb="21" eb="22">
      <t>タカ</t>
    </rPh>
    <rPh sb="23" eb="24">
      <t>ジュン</t>
    </rPh>
    <rPh sb="25" eb="26">
      <t>ウ</t>
    </rPh>
    <rPh sb="28" eb="30">
      <t>ジョウゲン</t>
    </rPh>
    <rPh sb="32" eb="33">
      <t>メ</t>
    </rPh>
    <rPh sb="33" eb="35">
      <t>イッパイ</t>
    </rPh>
    <rPh sb="35" eb="36">
      <t>ツク</t>
    </rPh>
    <phoneticPr fontId="3"/>
  </si>
  <si>
    <t>←残りの時間で、製品Bを作れるだけ作る</t>
    <rPh sb="1" eb="2">
      <t>ノコ</t>
    </rPh>
    <rPh sb="4" eb="6">
      <t>ジカン</t>
    </rPh>
    <rPh sb="8" eb="10">
      <t>セイヒン</t>
    </rPh>
    <rPh sb="12" eb="13">
      <t>ツク</t>
    </rPh>
    <rPh sb="17" eb="18">
      <t>ツク</t>
    </rPh>
    <phoneticPr fontId="3"/>
  </si>
  <si>
    <t>問3 制約条件が2つ→線形計画法</t>
    <rPh sb="0" eb="1">
      <t>ト</t>
    </rPh>
    <rPh sb="3" eb="5">
      <t>セイヤク</t>
    </rPh>
    <rPh sb="5" eb="7">
      <t>ジョウケン</t>
    </rPh>
    <rPh sb="11" eb="13">
      <t>センケイ</t>
    </rPh>
    <rPh sb="13" eb="16">
      <t>ケイカクホウ</t>
    </rPh>
    <phoneticPr fontId="3"/>
  </si>
  <si>
    <t xml:space="preserve">     組立時間の制約 3a+3b=2,100</t>
    <rPh sb="5" eb="7">
      <t>クミタテ</t>
    </rPh>
    <rPh sb="7" eb="9">
      <t>ジカン</t>
    </rPh>
    <rPh sb="10" eb="12">
      <t>セイヤク</t>
    </rPh>
    <phoneticPr fontId="3"/>
  </si>
  <si>
    <t>機械加工時間の制約 2a+4b=1,800</t>
    <rPh sb="0" eb="2">
      <t>キカイ</t>
    </rPh>
    <rPh sb="2" eb="4">
      <t>カコウ</t>
    </rPh>
    <rPh sb="4" eb="6">
      <t>ジカン</t>
    </rPh>
    <rPh sb="7" eb="9">
      <t>セイヤク</t>
    </rPh>
    <phoneticPr fontId="3"/>
  </si>
  <si>
    <t>交点ア</t>
    <rPh sb="0" eb="2">
      <t>コウテン</t>
    </rPh>
    <phoneticPr fontId="3"/>
  </si>
  <si>
    <t>交点イ</t>
    <rPh sb="0" eb="2">
      <t>コウテン</t>
    </rPh>
    <phoneticPr fontId="3"/>
  </si>
  <si>
    <t>交点ウ</t>
    <rPh sb="0" eb="2">
      <t>コウテン</t>
    </rPh>
    <phoneticPr fontId="3"/>
  </si>
  <si>
    <t>交点エ</t>
    <rPh sb="0" eb="2">
      <t>コウテン</t>
    </rPh>
    <phoneticPr fontId="3"/>
  </si>
  <si>
    <t>生産数</t>
    <rPh sb="0" eb="2">
      <t>セイサン</t>
    </rPh>
    <rPh sb="2" eb="3">
      <t>スウ</t>
    </rPh>
    <phoneticPr fontId="3"/>
  </si>
  <si>
    <t>限界利益額</t>
    <rPh sb="0" eb="2">
      <t>ゲンカイ</t>
    </rPh>
    <rPh sb="2" eb="4">
      <t>リエキ</t>
    </rPh>
    <rPh sb="4" eb="5">
      <t>ガク</t>
    </rPh>
    <phoneticPr fontId="3"/>
  </si>
  <si>
    <t>←交点ウの限界利益額が最大</t>
    <rPh sb="1" eb="3">
      <t>コウテン</t>
    </rPh>
    <rPh sb="5" eb="7">
      <t>ゲンカイ</t>
    </rPh>
    <rPh sb="7" eb="9">
      <t>リエキ</t>
    </rPh>
    <rPh sb="9" eb="10">
      <t>ガク</t>
    </rPh>
    <rPh sb="11" eb="13">
      <t>サイダイ</t>
    </rPh>
    <phoneticPr fontId="3"/>
  </si>
  <si>
    <t>営業利益額</t>
    <rPh sb="0" eb="2">
      <t>エイギョウ</t>
    </rPh>
    <rPh sb="2" eb="4">
      <t>リエキ</t>
    </rPh>
    <rPh sb="4" eb="5">
      <t>ガク</t>
    </rPh>
    <phoneticPr fontId="3"/>
  </si>
  <si>
    <t>例題：制約条件が１つの場合</t>
    <rPh sb="0" eb="2">
      <t>レイダイ</t>
    </rPh>
    <rPh sb="3" eb="5">
      <t>セイヤク</t>
    </rPh>
    <rPh sb="5" eb="7">
      <t>ジョウケン</t>
    </rPh>
    <rPh sb="11" eb="13">
      <t>バアイ</t>
    </rPh>
    <phoneticPr fontId="3"/>
  </si>
  <si>
    <t>単位あたり組立時間</t>
    <rPh sb="0" eb="2">
      <t>タンイ</t>
    </rPh>
    <rPh sb="5" eb="7">
      <t>クミタテ</t>
    </rPh>
    <rPh sb="7" eb="9">
      <t>ジカン</t>
    </rPh>
    <phoneticPr fontId="3"/>
  </si>
  <si>
    <t>需要限度量</t>
    <rPh sb="0" eb="2">
      <t>ジュヨウ</t>
    </rPh>
    <rPh sb="2" eb="4">
      <t>ゲンド</t>
    </rPh>
    <rPh sb="4" eb="5">
      <t>リョウ</t>
    </rPh>
    <phoneticPr fontId="3"/>
  </si>
  <si>
    <t>ｈ</t>
    <phoneticPr fontId="3"/>
  </si>
  <si>
    <t>年間組立作業時間</t>
    <rPh sb="0" eb="2">
      <t>ネンカン</t>
    </rPh>
    <rPh sb="2" eb="4">
      <t>クミタテ</t>
    </rPh>
    <rPh sb="4" eb="6">
      <t>サギョウ</t>
    </rPh>
    <rPh sb="6" eb="8">
      <t>ジカン</t>
    </rPh>
    <phoneticPr fontId="3"/>
  </si>
  <si>
    <t>Case12で少し触れた｢セールス・ミックス｣に｢利益最大化｣プラスすると、｢最適セールス・ミックス｣に。</t>
    <rPh sb="7" eb="8">
      <t>スコ</t>
    </rPh>
    <rPh sb="9" eb="10">
      <t>フ</t>
    </rPh>
    <rPh sb="25" eb="27">
      <t>リエキ</t>
    </rPh>
    <rPh sb="27" eb="30">
      <t>サイダイカ</t>
    </rPh>
    <rPh sb="39" eb="41">
      <t>サイテキ</t>
    </rPh>
    <phoneticPr fontId="3"/>
  </si>
  <si>
    <t>ここでは、工場の生産能力や市場の販売能力に制約(上限)があるとき、何をいくつ売れば一番儲かるかを占う。</t>
    <rPh sb="5" eb="7">
      <t>コウジョウ</t>
    </rPh>
    <rPh sb="8" eb="10">
      <t>セイサン</t>
    </rPh>
    <rPh sb="10" eb="12">
      <t>ノウリョク</t>
    </rPh>
    <rPh sb="13" eb="15">
      <t>シジョウ</t>
    </rPh>
    <rPh sb="16" eb="18">
      <t>ハンバイ</t>
    </rPh>
    <rPh sb="18" eb="20">
      <t>ノウリョク</t>
    </rPh>
    <rPh sb="21" eb="23">
      <t>セイヤク</t>
    </rPh>
    <rPh sb="24" eb="26">
      <t>ジョウゲン</t>
    </rPh>
    <rPh sb="33" eb="34">
      <t>ナニ</t>
    </rPh>
    <rPh sb="38" eb="39">
      <t>ウ</t>
    </rPh>
    <rPh sb="41" eb="43">
      <t>イチバン</t>
    </rPh>
    <rPh sb="43" eb="44">
      <t>モウ</t>
    </rPh>
    <rPh sb="48" eb="49">
      <t>ウラナ</t>
    </rPh>
    <phoneticPr fontId="3"/>
  </si>
  <si>
    <t>具体的には、①制約条件あたり限界利益単価を求め、②その高い順に、上限目一杯まで作る。</t>
    <rPh sb="0" eb="3">
      <t>グタイテキ</t>
    </rPh>
    <rPh sb="7" eb="9">
      <t>セイヤク</t>
    </rPh>
    <rPh sb="9" eb="11">
      <t>ジョウケン</t>
    </rPh>
    <rPh sb="14" eb="16">
      <t>ゲンカイ</t>
    </rPh>
    <rPh sb="16" eb="18">
      <t>リエキ</t>
    </rPh>
    <rPh sb="18" eb="20">
      <t>タンカ</t>
    </rPh>
    <rPh sb="21" eb="22">
      <t>モト</t>
    </rPh>
    <rPh sb="27" eb="28">
      <t>タカ</t>
    </rPh>
    <rPh sb="29" eb="30">
      <t>ジュン</t>
    </rPh>
    <rPh sb="32" eb="34">
      <t>ジョウゲン</t>
    </rPh>
    <rPh sb="34" eb="35">
      <t>メ</t>
    </rPh>
    <rPh sb="35" eb="37">
      <t>イッパイ</t>
    </rPh>
    <rPh sb="39" eb="40">
      <t>ツク</t>
    </rPh>
    <phoneticPr fontId="3"/>
  </si>
  <si>
    <t>問1～2は、制約条件が1つのケース。</t>
    <rPh sb="0" eb="1">
      <t>ト</t>
    </rPh>
    <rPh sb="6" eb="8">
      <t>セイヤク</t>
    </rPh>
    <rPh sb="8" eb="10">
      <t>ジョウケン</t>
    </rPh>
    <phoneticPr fontId="3"/>
  </si>
  <si>
    <t>問3は、次のCase14でやる制約条件が2つのケースなので、後でやります。</t>
    <rPh sb="0" eb="1">
      <t>ト</t>
    </rPh>
    <rPh sb="4" eb="5">
      <t>ツギ</t>
    </rPh>
    <rPh sb="15" eb="17">
      <t>セイヤク</t>
    </rPh>
    <rPh sb="17" eb="19">
      <t>ジョウケン</t>
    </rPh>
    <rPh sb="30" eb="31">
      <t>アト</t>
    </rPh>
    <phoneticPr fontId="3"/>
  </si>
  <si>
    <t>第3章 CASE14 最適セールス・ミックスの決定</t>
    <rPh sb="0" eb="1">
      <t>ダイ</t>
    </rPh>
    <rPh sb="2" eb="3">
      <t>ショウ</t>
    </rPh>
    <rPh sb="11" eb="13">
      <t>サイテキ</t>
    </rPh>
    <rPh sb="23" eb="25">
      <t>ケッテイ</t>
    </rPh>
    <phoneticPr fontId="3"/>
  </si>
  <si>
    <t>例題：制約条件が2つ以上の場合</t>
    <rPh sb="0" eb="2">
      <t>レイダイ</t>
    </rPh>
    <rPh sb="3" eb="5">
      <t>セイヤク</t>
    </rPh>
    <rPh sb="5" eb="7">
      <t>ジョウケン</t>
    </rPh>
    <rPh sb="10" eb="12">
      <t>イジョウ</t>
    </rPh>
    <rPh sb="13" eb="15">
      <t>バアイ</t>
    </rPh>
    <phoneticPr fontId="3"/>
  </si>
  <si>
    <t>月間生産能力</t>
    <rPh sb="0" eb="2">
      <t>ゲッカン</t>
    </rPh>
    <rPh sb="2" eb="4">
      <t>セイサン</t>
    </rPh>
    <rPh sb="4" eb="6">
      <t>ノウリョク</t>
    </rPh>
    <phoneticPr fontId="3"/>
  </si>
  <si>
    <t>制約条件が2つの最適セールス・ミックス</t>
    <rPh sb="0" eb="2">
      <t>セイヤク</t>
    </rPh>
    <rPh sb="2" eb="4">
      <t>ジョウケン</t>
    </rPh>
    <rPh sb="8" eb="10">
      <t>サイテキ</t>
    </rPh>
    <phoneticPr fontId="3"/>
  </si>
  <si>
    <t xml:space="preserve">     加工時間の制約 4a+2b=16,000</t>
    <rPh sb="5" eb="7">
      <t>カコウ</t>
    </rPh>
    <rPh sb="7" eb="9">
      <t>ジカン</t>
    </rPh>
    <rPh sb="10" eb="12">
      <t>セイヤク</t>
    </rPh>
    <phoneticPr fontId="3"/>
  </si>
  <si>
    <t>組立時間の制約 1.2a+b=6,000</t>
    <rPh sb="0" eb="2">
      <t>クミタテ</t>
    </rPh>
    <rPh sb="2" eb="4">
      <t>ジカン</t>
    </rPh>
    <rPh sb="5" eb="7">
      <t>セイヤク</t>
    </rPh>
    <phoneticPr fontId="3"/>
  </si>
  <si>
    <t>問2</t>
    <rPh sb="0" eb="1">
      <t>ト</t>
    </rPh>
    <phoneticPr fontId="3"/>
  </si>
  <si>
    <t>問3</t>
    <rPh sb="0" eb="1">
      <t>トイ</t>
    </rPh>
    <phoneticPr fontId="3"/>
  </si>
  <si>
    <t>感度分析</t>
    <rPh sb="0" eb="2">
      <t>カンド</t>
    </rPh>
    <rPh sb="2" eb="4">
      <t>ブンセキ</t>
    </rPh>
    <phoneticPr fontId="3"/>
  </si>
  <si>
    <t>端点ア</t>
    <phoneticPr fontId="3"/>
  </si>
  <si>
    <t>端点イ</t>
    <phoneticPr fontId="3"/>
  </si>
  <si>
    <t>端点ウ</t>
    <phoneticPr fontId="3"/>
  </si>
  <si>
    <t>端点エ</t>
    <phoneticPr fontId="3"/>
  </si>
  <si>
    <t>そこで製品Aの単価をXとした方程式で解く</t>
    <rPh sb="3" eb="5">
      <t>セイヒン</t>
    </rPh>
    <rPh sb="7" eb="9">
      <t>タンカ</t>
    </rPh>
    <rPh sb="14" eb="17">
      <t>ホウテイシキ</t>
    </rPh>
    <rPh sb="18" eb="19">
      <t>ト</t>
    </rPh>
    <phoneticPr fontId="3"/>
  </si>
  <si>
    <t>X+</t>
    <phoneticPr fontId="3"/>
  </si>
  <si>
    <t>X+</t>
    <phoneticPr fontId="3"/>
  </si>
  <si>
    <t>X=</t>
    <phoneticPr fontId="3"/>
  </si>
  <si>
    <t>円</t>
    <rPh sb="0" eb="1">
      <t>エン</t>
    </rPh>
    <phoneticPr fontId="3"/>
  </si>
  <si>
    <t>クイズのような話になるが、アイウエの端点は限界利益額に関係ないため、端点ア～エの組み合わせは変化しない。</t>
    <rPh sb="7" eb="8">
      <t>ハナシ</t>
    </rPh>
    <rPh sb="18" eb="19">
      <t>ハ</t>
    </rPh>
    <rPh sb="19" eb="20">
      <t>テン</t>
    </rPh>
    <rPh sb="21" eb="23">
      <t>ゲンカイ</t>
    </rPh>
    <rPh sb="23" eb="25">
      <t>リエキ</t>
    </rPh>
    <rPh sb="25" eb="26">
      <t>ガク</t>
    </rPh>
    <rPh sb="27" eb="29">
      <t>カンケイ</t>
    </rPh>
    <rPh sb="34" eb="35">
      <t>ハ</t>
    </rPh>
    <rPh sb="35" eb="36">
      <t>テン</t>
    </rPh>
    <rPh sb="40" eb="41">
      <t>ク</t>
    </rPh>
    <rPh sb="42" eb="43">
      <t>ア</t>
    </rPh>
    <rPh sb="46" eb="48">
      <t>ヘンカ</t>
    </rPh>
    <phoneticPr fontId="3"/>
  </si>
  <si>
    <t>単位あたり組立時間</t>
    <rPh sb="0" eb="2">
      <t>タンイ</t>
    </rPh>
    <rPh sb="5" eb="7">
      <t>クミタテ</t>
    </rPh>
    <rPh sb="7" eb="9">
      <t>ジカン</t>
    </rPh>
    <phoneticPr fontId="3"/>
  </si>
  <si>
    <t>需要限度生産販売量</t>
    <rPh sb="0" eb="2">
      <t>ジュヨウ</t>
    </rPh>
    <rPh sb="2" eb="4">
      <t>ゲンド</t>
    </rPh>
    <rPh sb="4" eb="6">
      <t>セイサン</t>
    </rPh>
    <rPh sb="6" eb="8">
      <t>ハンバイ</t>
    </rPh>
    <rPh sb="8" eb="9">
      <t>リョウ</t>
    </rPh>
    <phoneticPr fontId="3"/>
  </si>
  <si>
    <t>単位当たり機械時間</t>
    <rPh sb="0" eb="2">
      <t>タンイ</t>
    </rPh>
    <rPh sb="2" eb="3">
      <t>ア</t>
    </rPh>
    <rPh sb="5" eb="7">
      <t>キカイ</t>
    </rPh>
    <rPh sb="7" eb="9">
      <t>ジカン</t>
    </rPh>
    <phoneticPr fontId="3"/>
  </si>
  <si>
    <t>h</t>
    <phoneticPr fontId="3"/>
  </si>
  <si>
    <t>年間稼働時間</t>
    <rPh sb="0" eb="2">
      <t>ネンカン</t>
    </rPh>
    <rPh sb="2" eb="4">
      <t>カドウ</t>
    </rPh>
    <rPh sb="4" eb="6">
      <t>ジカン</t>
    </rPh>
    <phoneticPr fontId="3"/>
  </si>
  <si>
    <t>h</t>
    <phoneticPr fontId="3"/>
  </si>
  <si>
    <t>端点ア</t>
    <rPh sb="0" eb="1">
      <t>ハ</t>
    </rPh>
    <rPh sb="1" eb="2">
      <t>テン</t>
    </rPh>
    <phoneticPr fontId="3"/>
  </si>
  <si>
    <t>端点イ</t>
    <rPh sb="0" eb="1">
      <t>ハ</t>
    </rPh>
    <rPh sb="1" eb="2">
      <t>テン</t>
    </rPh>
    <phoneticPr fontId="3"/>
  </si>
  <si>
    <t>端点ウ</t>
    <rPh sb="0" eb="1">
      <t>ハ</t>
    </rPh>
    <rPh sb="1" eb="2">
      <t>テン</t>
    </rPh>
    <phoneticPr fontId="3"/>
  </si>
  <si>
    <t>端点エ</t>
    <rPh sb="0" eb="1">
      <t>ハ</t>
    </rPh>
    <rPh sb="1" eb="2">
      <t>テン</t>
    </rPh>
    <phoneticPr fontId="3"/>
  </si>
  <si>
    <t>端点オ</t>
    <rPh sb="0" eb="1">
      <t>ハ</t>
    </rPh>
    <rPh sb="1" eb="2">
      <t>テン</t>
    </rPh>
    <phoneticPr fontId="3"/>
  </si>
  <si>
    <t>限界利益</t>
    <rPh sb="0" eb="2">
      <t>ゲンカイ</t>
    </rPh>
    <rPh sb="2" eb="4">
      <t>リエキ</t>
    </rPh>
    <phoneticPr fontId="3"/>
  </si>
  <si>
    <t>←ここが限界利益最大</t>
    <rPh sb="4" eb="6">
      <t>ゲンカイ</t>
    </rPh>
    <rPh sb="6" eb="8">
      <t>リエキ</t>
    </rPh>
    <rPh sb="8" eb="10">
      <t>サイダイ</t>
    </rPh>
    <phoneticPr fontId="3"/>
  </si>
  <si>
    <t>(1)最適セールス・ミックス</t>
    <rPh sb="3" eb="5">
      <t>サイテキ</t>
    </rPh>
    <phoneticPr fontId="3"/>
  </si>
  <si>
    <t>営業利益</t>
    <rPh sb="0" eb="2">
      <t>エイギョウ</t>
    </rPh>
    <rPh sb="2" eb="4">
      <t>リエキ</t>
    </rPh>
    <phoneticPr fontId="3"/>
  </si>
  <si>
    <t>最適セールス・ミックスを決める時、制約条件が1つなら｢制約条件あたり限界利益｣が高い順にひたすら作る。</t>
    <rPh sb="0" eb="2">
      <t>サイテキ</t>
    </rPh>
    <rPh sb="12" eb="13">
      <t>キ</t>
    </rPh>
    <rPh sb="15" eb="16">
      <t>トキ</t>
    </rPh>
    <rPh sb="17" eb="19">
      <t>セイヤク</t>
    </rPh>
    <rPh sb="19" eb="21">
      <t>ジョウケン</t>
    </rPh>
    <rPh sb="27" eb="29">
      <t>セイヤク</t>
    </rPh>
    <rPh sb="29" eb="31">
      <t>ジョウケン</t>
    </rPh>
    <rPh sb="34" eb="36">
      <t>ゲンカイ</t>
    </rPh>
    <rPh sb="36" eb="38">
      <t>リエキ</t>
    </rPh>
    <rPh sb="40" eb="41">
      <t>タカ</t>
    </rPh>
    <rPh sb="42" eb="43">
      <t>ジュン</t>
    </rPh>
    <rPh sb="48" eb="49">
      <t>ツク</t>
    </rPh>
    <phoneticPr fontId="3"/>
  </si>
  <si>
    <t>ところが制約条件が2つになるとひたすら複雑。そこでグラフ化してスッキリ解いてしまうのが簿記1級論点｢線形計画法｣です。</t>
    <rPh sb="4" eb="6">
      <t>セイヤク</t>
    </rPh>
    <rPh sb="6" eb="8">
      <t>ジョウケン</t>
    </rPh>
    <rPh sb="19" eb="21">
      <t>フクザツ</t>
    </rPh>
    <rPh sb="28" eb="29">
      <t>カ</t>
    </rPh>
    <rPh sb="35" eb="36">
      <t>ト</t>
    </rPh>
    <rPh sb="43" eb="45">
      <t>ボキ</t>
    </rPh>
    <rPh sb="46" eb="47">
      <t>キュウ</t>
    </rPh>
    <rPh sb="47" eb="49">
      <t>ロンテン</t>
    </rPh>
    <rPh sb="50" eb="52">
      <t>センケイ</t>
    </rPh>
    <rPh sb="52" eb="55">
      <t>ケイカクホウ</t>
    </rPh>
    <phoneticPr fontId="3"/>
  </si>
  <si>
    <t>グラフが大事なので、エクセルよりも手描き向き。そこで解き方はテキストをメインにしていただき、計算ロジックのみ示します。</t>
    <rPh sb="4" eb="6">
      <t>ダイジ</t>
    </rPh>
    <rPh sb="17" eb="19">
      <t>テガ</t>
    </rPh>
    <rPh sb="20" eb="21">
      <t>ム</t>
    </rPh>
    <rPh sb="26" eb="27">
      <t>ト</t>
    </rPh>
    <rPh sb="28" eb="29">
      <t>カタ</t>
    </rPh>
    <rPh sb="46" eb="48">
      <t>ケイサン</t>
    </rPh>
    <rPh sb="54" eb="55">
      <t>シメ</t>
    </rPh>
    <phoneticPr fontId="3"/>
  </si>
  <si>
    <t>線形計画法といえど、２つの制約条件から｢可能領域｣｢端点｣を求めると、あとはひたすら計算するだけ。難しい問題は作りにくい。</t>
    <rPh sb="0" eb="2">
      <t>センケイ</t>
    </rPh>
    <rPh sb="2" eb="5">
      <t>ケイカクホウ</t>
    </rPh>
    <rPh sb="13" eb="15">
      <t>セイヤク</t>
    </rPh>
    <rPh sb="15" eb="17">
      <t>ジョウケン</t>
    </rPh>
    <rPh sb="20" eb="22">
      <t>カノウ</t>
    </rPh>
    <rPh sb="22" eb="24">
      <t>リョウイキ</t>
    </rPh>
    <rPh sb="26" eb="27">
      <t>ハ</t>
    </rPh>
    <rPh sb="27" eb="28">
      <t>テン</t>
    </rPh>
    <rPh sb="30" eb="31">
      <t>モト</t>
    </rPh>
    <rPh sb="42" eb="44">
      <t>ケイサン</t>
    </rPh>
    <rPh sb="49" eb="50">
      <t>ムズカ</t>
    </rPh>
    <rPh sb="52" eb="54">
      <t>モンダイ</t>
    </rPh>
    <rPh sb="55" eb="56">
      <t>ツク</t>
    </rPh>
    <phoneticPr fontId="3"/>
  </si>
  <si>
    <t>線形計画法は｢出る、出る｣と言われ、｢Ⅳ｣で一度も問われない。その理由は｢知ってる知らないで、点差が開いてしまう｣ためかも知れません。</t>
    <rPh sb="0" eb="2">
      <t>センケイ</t>
    </rPh>
    <rPh sb="2" eb="5">
      <t>ケイカクホウ</t>
    </rPh>
    <rPh sb="7" eb="8">
      <t>デ</t>
    </rPh>
    <rPh sb="10" eb="11">
      <t>デ</t>
    </rPh>
    <rPh sb="14" eb="15">
      <t>イ</t>
    </rPh>
    <rPh sb="22" eb="24">
      <t>イチド</t>
    </rPh>
    <rPh sb="25" eb="26">
      <t>ト</t>
    </rPh>
    <rPh sb="33" eb="35">
      <t>リユウ</t>
    </rPh>
    <rPh sb="37" eb="38">
      <t>シ</t>
    </rPh>
    <rPh sb="41" eb="42">
      <t>シ</t>
    </rPh>
    <rPh sb="47" eb="49">
      <t>テンサ</t>
    </rPh>
    <rPh sb="50" eb="51">
      <t>ヒラ</t>
    </rPh>
    <rPh sb="61" eb="62">
      <t>シ</t>
    </rPh>
    <phoneticPr fontId="3"/>
  </si>
  <si>
    <t>第3章 CASE16 予算編成</t>
    <rPh sb="0" eb="1">
      <t>ダイ</t>
    </rPh>
    <rPh sb="2" eb="3">
      <t>ショウ</t>
    </rPh>
    <rPh sb="11" eb="13">
      <t>ヨサン</t>
    </rPh>
    <rPh sb="13" eb="15">
      <t>ヘンセイ</t>
    </rPh>
    <phoneticPr fontId="3"/>
  </si>
  <si>
    <t>問題⑪：予算編成</t>
    <rPh sb="0" eb="2">
      <t>モンダイ</t>
    </rPh>
    <rPh sb="4" eb="6">
      <t>ヨサン</t>
    </rPh>
    <rPh sb="6" eb="8">
      <t>ヘンセイ</t>
    </rPh>
    <phoneticPr fontId="3"/>
  </si>
  <si>
    <t>売上高</t>
    <rPh sb="0" eb="2">
      <t>ウリアゲ</t>
    </rPh>
    <rPh sb="2" eb="3">
      <t>ダカ</t>
    </rPh>
    <phoneticPr fontId="3"/>
  </si>
  <si>
    <t>売上原価</t>
    <rPh sb="0" eb="2">
      <t>ウリアゲ</t>
    </rPh>
    <rPh sb="2" eb="4">
      <t>ゲンカ</t>
    </rPh>
    <phoneticPr fontId="3"/>
  </si>
  <si>
    <t xml:space="preserve">  売上総利益</t>
    <rPh sb="2" eb="4">
      <t>ウリアゲ</t>
    </rPh>
    <rPh sb="4" eb="7">
      <t>ソウリエキ</t>
    </rPh>
    <phoneticPr fontId="3"/>
  </si>
  <si>
    <t>販管費</t>
    <rPh sb="0" eb="3">
      <t>ハンカンヒ</t>
    </rPh>
    <phoneticPr fontId="3"/>
  </si>
  <si>
    <t xml:space="preserve">  営業利益</t>
    <rPh sb="2" eb="4">
      <t>エイギョウ</t>
    </rPh>
    <rPh sb="4" eb="6">
      <t>リエキ</t>
    </rPh>
    <phoneticPr fontId="3"/>
  </si>
  <si>
    <t>支払利息</t>
    <rPh sb="0" eb="2">
      <t>シハライ</t>
    </rPh>
    <rPh sb="2" eb="4">
      <t>リソク</t>
    </rPh>
    <phoneticPr fontId="3"/>
  </si>
  <si>
    <t xml:space="preserve">  経常利益</t>
    <rPh sb="2" eb="4">
      <t>ケイツネ</t>
    </rPh>
    <rPh sb="4" eb="6">
      <t>リエキ</t>
    </rPh>
    <phoneticPr fontId="3"/>
  </si>
  <si>
    <t>法人税等</t>
    <rPh sb="0" eb="3">
      <t>ホウジンゼイ</t>
    </rPh>
    <rPh sb="3" eb="4">
      <t>トウ</t>
    </rPh>
    <phoneticPr fontId="3"/>
  </si>
  <si>
    <t xml:space="preserve">  当期純利益</t>
    <rPh sb="2" eb="4">
      <t>トウキ</t>
    </rPh>
    <rPh sb="4" eb="7">
      <t>ジュンリエキ</t>
    </rPh>
    <phoneticPr fontId="3"/>
  </si>
  <si>
    <t>予定PL</t>
    <rPh sb="0" eb="2">
      <t>ヨテイ</t>
    </rPh>
    <phoneticPr fontId="3"/>
  </si>
  <si>
    <t>流動資産</t>
    <rPh sb="0" eb="2">
      <t>リュウドウ</t>
    </rPh>
    <rPh sb="2" eb="4">
      <t>シサン</t>
    </rPh>
    <phoneticPr fontId="3"/>
  </si>
  <si>
    <t xml:space="preserve">  現金</t>
    <rPh sb="2" eb="4">
      <t>ゲンキン</t>
    </rPh>
    <phoneticPr fontId="3"/>
  </si>
  <si>
    <t xml:space="preserve">  売掛金</t>
    <rPh sb="2" eb="4">
      <t>ウリカケ</t>
    </rPh>
    <rPh sb="4" eb="5">
      <t>キン</t>
    </rPh>
    <phoneticPr fontId="3"/>
  </si>
  <si>
    <t xml:space="preserve">  製品</t>
    <rPh sb="2" eb="4">
      <t>セイヒン</t>
    </rPh>
    <phoneticPr fontId="3"/>
  </si>
  <si>
    <t xml:space="preserve">  原料</t>
    <rPh sb="2" eb="4">
      <t>ゲンリョウ</t>
    </rPh>
    <phoneticPr fontId="3"/>
  </si>
  <si>
    <t xml:space="preserve">  その他</t>
    <rPh sb="4" eb="5">
      <t>タ</t>
    </rPh>
    <phoneticPr fontId="3"/>
  </si>
  <si>
    <t xml:space="preserve">    流動資産合計</t>
    <rPh sb="4" eb="6">
      <t>リュウドウ</t>
    </rPh>
    <rPh sb="6" eb="8">
      <t>シサン</t>
    </rPh>
    <rPh sb="8" eb="10">
      <t>ゴウケイ</t>
    </rPh>
    <phoneticPr fontId="3"/>
  </si>
  <si>
    <t>固定資産</t>
    <rPh sb="0" eb="2">
      <t>コテイ</t>
    </rPh>
    <rPh sb="2" eb="4">
      <t>シサン</t>
    </rPh>
    <phoneticPr fontId="3"/>
  </si>
  <si>
    <t xml:space="preserve">  土地</t>
    <rPh sb="2" eb="4">
      <t>トチ</t>
    </rPh>
    <phoneticPr fontId="3"/>
  </si>
  <si>
    <t xml:space="preserve">  建物・設備</t>
    <rPh sb="2" eb="4">
      <t>タテモノ</t>
    </rPh>
    <rPh sb="5" eb="7">
      <t>セツビ</t>
    </rPh>
    <phoneticPr fontId="3"/>
  </si>
  <si>
    <t xml:space="preserve">    固定資産合計</t>
    <rPh sb="4" eb="6">
      <t>コテイ</t>
    </rPh>
    <rPh sb="6" eb="8">
      <t>シサン</t>
    </rPh>
    <rPh sb="8" eb="10">
      <t>ゴウケイ</t>
    </rPh>
    <phoneticPr fontId="3"/>
  </si>
  <si>
    <t xml:space="preserve">    減価償却累計額</t>
    <rPh sb="4" eb="6">
      <t>ゲンカ</t>
    </rPh>
    <rPh sb="6" eb="8">
      <t>ショウキャク</t>
    </rPh>
    <rPh sb="8" eb="10">
      <t>ルイケイ</t>
    </rPh>
    <rPh sb="10" eb="11">
      <t>ガク</t>
    </rPh>
    <phoneticPr fontId="3"/>
  </si>
  <si>
    <t>流動負債</t>
    <rPh sb="0" eb="2">
      <t>リュウドウ</t>
    </rPh>
    <rPh sb="2" eb="4">
      <t>フサイ</t>
    </rPh>
    <phoneticPr fontId="3"/>
  </si>
  <si>
    <t xml:space="preserve">  買掛金</t>
    <rPh sb="2" eb="5">
      <t>カイカケキン</t>
    </rPh>
    <phoneticPr fontId="3"/>
  </si>
  <si>
    <t xml:space="preserve">  短期借入金</t>
    <rPh sb="2" eb="4">
      <t>タンキ</t>
    </rPh>
    <rPh sb="4" eb="6">
      <t>カリイレ</t>
    </rPh>
    <rPh sb="6" eb="7">
      <t>キン</t>
    </rPh>
    <phoneticPr fontId="3"/>
  </si>
  <si>
    <t xml:space="preserve">   流動負債合計</t>
    <rPh sb="3" eb="5">
      <t>リュウドウ</t>
    </rPh>
    <rPh sb="5" eb="7">
      <t>フサイ</t>
    </rPh>
    <rPh sb="7" eb="9">
      <t>ゴウケイ</t>
    </rPh>
    <phoneticPr fontId="3"/>
  </si>
  <si>
    <t>固定負債</t>
    <rPh sb="0" eb="2">
      <t>コテイ</t>
    </rPh>
    <rPh sb="2" eb="4">
      <t>フサイ</t>
    </rPh>
    <phoneticPr fontId="3"/>
  </si>
  <si>
    <t xml:space="preserve">  社債</t>
    <rPh sb="2" eb="4">
      <t>シャサイ</t>
    </rPh>
    <phoneticPr fontId="3"/>
  </si>
  <si>
    <t xml:space="preserve">   負債合計</t>
    <rPh sb="3" eb="5">
      <t>フサイ</t>
    </rPh>
    <rPh sb="5" eb="7">
      <t>ゴウケイ</t>
    </rPh>
    <phoneticPr fontId="3"/>
  </si>
  <si>
    <t>純資産</t>
    <rPh sb="0" eb="3">
      <t>ジュンシサン</t>
    </rPh>
    <phoneticPr fontId="3"/>
  </si>
  <si>
    <t xml:space="preserve"> 資本金</t>
    <rPh sb="1" eb="4">
      <t>シホンキン</t>
    </rPh>
    <phoneticPr fontId="3"/>
  </si>
  <si>
    <t xml:space="preserve"> 利益準備金</t>
    <rPh sb="1" eb="3">
      <t>リエキ</t>
    </rPh>
    <rPh sb="3" eb="6">
      <t>ジュンビキン</t>
    </rPh>
    <phoneticPr fontId="3"/>
  </si>
  <si>
    <t xml:space="preserve"> 任意積立金</t>
    <rPh sb="1" eb="3">
      <t>ニンイ</t>
    </rPh>
    <rPh sb="3" eb="5">
      <t>ツミタテ</t>
    </rPh>
    <rPh sb="5" eb="6">
      <t>キン</t>
    </rPh>
    <phoneticPr fontId="3"/>
  </si>
  <si>
    <t xml:space="preserve"> 繰越利益剰余金</t>
    <rPh sb="1" eb="3">
      <t>クリコシ</t>
    </rPh>
    <rPh sb="3" eb="5">
      <t>リエキ</t>
    </rPh>
    <rPh sb="5" eb="8">
      <t>ジョウヨキン</t>
    </rPh>
    <phoneticPr fontId="3"/>
  </si>
  <si>
    <t xml:space="preserve">   純資産合計</t>
    <rPh sb="3" eb="6">
      <t>ジュンシサン</t>
    </rPh>
    <rPh sb="6" eb="8">
      <t>ゴウケイ</t>
    </rPh>
    <phoneticPr fontId="3"/>
  </si>
  <si>
    <t>負債・純資産合計</t>
    <rPh sb="0" eb="2">
      <t>フサイ</t>
    </rPh>
    <rPh sb="3" eb="6">
      <t>ジュンシサン</t>
    </rPh>
    <rPh sb="6" eb="8">
      <t>ゴウケイ</t>
    </rPh>
    <phoneticPr fontId="3"/>
  </si>
  <si>
    <t>資産合計</t>
    <rPh sb="0" eb="2">
      <t>シサン</t>
    </rPh>
    <rPh sb="2" eb="4">
      <t>ゴウケイ</t>
    </rPh>
    <phoneticPr fontId="3"/>
  </si>
  <si>
    <t xml:space="preserve">  未払法人税等</t>
    <rPh sb="2" eb="4">
      <t>ミハラ</t>
    </rPh>
    <rPh sb="4" eb="7">
      <t>ホウジンゼイ</t>
    </rPh>
    <rPh sb="7" eb="8">
      <t>トウ</t>
    </rPh>
    <phoneticPr fontId="3"/>
  </si>
  <si>
    <t>X1年度</t>
    <rPh sb="2" eb="4">
      <t>ネンド</t>
    </rPh>
    <phoneticPr fontId="3"/>
  </si>
  <si>
    <t>X2年度予想</t>
    <rPh sb="2" eb="4">
      <t>ネンド</t>
    </rPh>
    <rPh sb="4" eb="6">
      <t>ヨソウ</t>
    </rPh>
    <phoneticPr fontId="3"/>
  </si>
  <si>
    <t>資料</t>
    <rPh sb="0" eb="2">
      <t>シリョウ</t>
    </rPh>
    <phoneticPr fontId="3"/>
  </si>
  <si>
    <t>製品原価標準</t>
    <rPh sb="0" eb="2">
      <t>セイヒン</t>
    </rPh>
    <rPh sb="2" eb="4">
      <t>ゲンカ</t>
    </rPh>
    <rPh sb="4" eb="6">
      <t>ヒョウジュン</t>
    </rPh>
    <phoneticPr fontId="3"/>
  </si>
  <si>
    <t>原料費</t>
    <rPh sb="0" eb="2">
      <t>ゲンリョウ</t>
    </rPh>
    <rPh sb="2" eb="3">
      <t>ヒ</t>
    </rPh>
    <phoneticPr fontId="3"/>
  </si>
  <si>
    <t>加工費</t>
    <rPh sb="0" eb="3">
      <t>カコウヒ</t>
    </rPh>
    <phoneticPr fontId="3"/>
  </si>
  <si>
    <t>変動加工費</t>
    <rPh sb="0" eb="2">
      <t>ヘンドウ</t>
    </rPh>
    <rPh sb="2" eb="5">
      <t>カコウヒ</t>
    </rPh>
    <phoneticPr fontId="3"/>
  </si>
  <si>
    <t>固定加工費</t>
    <rPh sb="0" eb="2">
      <t>コテイ</t>
    </rPh>
    <rPh sb="2" eb="5">
      <t>カコウヒ</t>
    </rPh>
    <phoneticPr fontId="3"/>
  </si>
  <si>
    <t>単価</t>
    <rPh sb="0" eb="2">
      <t>タンカ</t>
    </rPh>
    <phoneticPr fontId="3"/>
  </si>
  <si>
    <t>量</t>
    <rPh sb="0" eb="1">
      <t>リョウ</t>
    </rPh>
    <phoneticPr fontId="3"/>
  </si>
  <si>
    <t>期首製品</t>
    <rPh sb="0" eb="2">
      <t>キシュ</t>
    </rPh>
    <rPh sb="2" eb="4">
      <t>セイヒン</t>
    </rPh>
    <phoneticPr fontId="3"/>
  </si>
  <si>
    <t>年間生産</t>
    <rPh sb="0" eb="2">
      <t>ネンカン</t>
    </rPh>
    <rPh sb="2" eb="4">
      <t>セイサン</t>
    </rPh>
    <phoneticPr fontId="3"/>
  </si>
  <si>
    <t>年間販売</t>
    <rPh sb="0" eb="2">
      <t>ネンカン</t>
    </rPh>
    <rPh sb="2" eb="4">
      <t>ハンバイ</t>
    </rPh>
    <phoneticPr fontId="3"/>
  </si>
  <si>
    <t>期末製品</t>
    <rPh sb="0" eb="2">
      <t>キマツ</t>
    </rPh>
    <rPh sb="2" eb="4">
      <t>セイヒン</t>
    </rPh>
    <phoneticPr fontId="3"/>
  </si>
  <si>
    <t>製品販売単価</t>
    <rPh sb="0" eb="2">
      <t>セイヒン</t>
    </rPh>
    <rPh sb="2" eb="4">
      <t>ハンバイ</t>
    </rPh>
    <rPh sb="4" eb="6">
      <t>タンカ</t>
    </rPh>
    <phoneticPr fontId="3"/>
  </si>
  <si>
    <t>原料BOX</t>
    <rPh sb="0" eb="2">
      <t>ゲンリョウ</t>
    </rPh>
    <phoneticPr fontId="3"/>
  </si>
  <si>
    <t>期首原料</t>
    <rPh sb="0" eb="2">
      <t>キシュ</t>
    </rPh>
    <rPh sb="2" eb="4">
      <t>ゲンリョウ</t>
    </rPh>
    <phoneticPr fontId="3"/>
  </si>
  <si>
    <t>年間購入</t>
    <rPh sb="0" eb="2">
      <t>ネンカン</t>
    </rPh>
    <rPh sb="2" eb="4">
      <t>コウニュウ</t>
    </rPh>
    <phoneticPr fontId="3"/>
  </si>
  <si>
    <t>期末原料</t>
    <rPh sb="0" eb="2">
      <t>キマツ</t>
    </rPh>
    <rPh sb="2" eb="4">
      <t>ゲンリョウ</t>
    </rPh>
    <phoneticPr fontId="3"/>
  </si>
  <si>
    <t>加工費予算</t>
    <rPh sb="0" eb="3">
      <t>カコウヒ</t>
    </rPh>
    <rPh sb="3" eb="5">
      <t>ヨサン</t>
    </rPh>
    <phoneticPr fontId="3"/>
  </si>
  <si>
    <t>変動費</t>
    <rPh sb="0" eb="2">
      <t>ヘンドウ</t>
    </rPh>
    <rPh sb="2" eb="3">
      <t>ヒ</t>
    </rPh>
    <phoneticPr fontId="3"/>
  </si>
  <si>
    <t>固定費</t>
    <rPh sb="0" eb="3">
      <t>コテイヒ</t>
    </rPh>
    <phoneticPr fontId="3"/>
  </si>
  <si>
    <t xml:space="preserve"> 減価償却費</t>
    <rPh sb="1" eb="3">
      <t>ゲンカ</t>
    </rPh>
    <rPh sb="3" eb="5">
      <t>ショウキャク</t>
    </rPh>
    <rPh sb="5" eb="6">
      <t>ヒ</t>
    </rPh>
    <phoneticPr fontId="3"/>
  </si>
  <si>
    <t xml:space="preserve"> 現金支出原価</t>
    <rPh sb="1" eb="3">
      <t>ゲンキン</t>
    </rPh>
    <rPh sb="3" eb="5">
      <t>シシュツ</t>
    </rPh>
    <rPh sb="5" eb="7">
      <t>ゲンカ</t>
    </rPh>
    <phoneticPr fontId="3"/>
  </si>
  <si>
    <t>円/年</t>
    <rPh sb="0" eb="1">
      <t>エン</t>
    </rPh>
    <rPh sb="2" eb="3">
      <t>ネン</t>
    </rPh>
    <phoneticPr fontId="3"/>
  </si>
  <si>
    <t>販管費予算</t>
    <rPh sb="0" eb="3">
      <t>ハンカンヒ</t>
    </rPh>
    <rPh sb="3" eb="5">
      <t>ヨサン</t>
    </rPh>
    <phoneticPr fontId="3"/>
  </si>
  <si>
    <t>X2年度予想</t>
    <rPh sb="2" eb="4">
      <t>ネンド</t>
    </rPh>
    <rPh sb="4" eb="6">
      <t>ヨソウ</t>
    </rPh>
    <phoneticPr fontId="3"/>
  </si>
  <si>
    <t>万円</t>
    <rPh sb="0" eb="2">
      <t>マンエン</t>
    </rPh>
    <phoneticPr fontId="3"/>
  </si>
  <si>
    <t>年間消費</t>
    <rPh sb="0" eb="2">
      <t>ネンカン</t>
    </rPh>
    <rPh sb="2" eb="4">
      <t>ショウヒ</t>
    </rPh>
    <phoneticPr fontId="3"/>
  </si>
  <si>
    <t>単位：kg</t>
    <rPh sb="0" eb="2">
      <t>タンイ</t>
    </rPh>
    <phoneticPr fontId="3"/>
  </si>
  <si>
    <t>円/h、円/個</t>
    <rPh sb="0" eb="1">
      <t>エン</t>
    </rPh>
    <rPh sb="4" eb="5">
      <t>エン</t>
    </rPh>
    <rPh sb="6" eb="7">
      <t>コ</t>
    </rPh>
    <phoneticPr fontId="3"/>
  </si>
  <si>
    <t>年間予算操業度</t>
    <rPh sb="0" eb="2">
      <t>ネンカン</t>
    </rPh>
    <rPh sb="2" eb="4">
      <t>ヨサン</t>
    </rPh>
    <rPh sb="4" eb="6">
      <t>ソウギョウ</t>
    </rPh>
    <rPh sb="6" eb="7">
      <t>ド</t>
    </rPh>
    <phoneticPr fontId="3"/>
  </si>
  <si>
    <t xml:space="preserve">  未払費用</t>
    <rPh sb="2" eb="4">
      <t>ミハラ</t>
    </rPh>
    <rPh sb="4" eb="6">
      <t>ヒヨウ</t>
    </rPh>
    <phoneticPr fontId="3"/>
  </si>
  <si>
    <t>仕掛品BOX</t>
    <rPh sb="0" eb="2">
      <t>シカカリ</t>
    </rPh>
    <rPh sb="2" eb="3">
      <t>ヒン</t>
    </rPh>
    <phoneticPr fontId="3"/>
  </si>
  <si>
    <t>期首仕掛品</t>
    <rPh sb="0" eb="2">
      <t>キシュ</t>
    </rPh>
    <rPh sb="2" eb="4">
      <t>シカカリ</t>
    </rPh>
    <rPh sb="4" eb="5">
      <t>ヒン</t>
    </rPh>
    <phoneticPr fontId="3"/>
  </si>
  <si>
    <t>期末仕掛品</t>
    <rPh sb="0" eb="2">
      <t>キマツ</t>
    </rPh>
    <rPh sb="2" eb="4">
      <t>シカカリ</t>
    </rPh>
    <rPh sb="4" eb="5">
      <t>ヒン</t>
    </rPh>
    <phoneticPr fontId="3"/>
  </si>
  <si>
    <t>年間投入</t>
    <rPh sb="0" eb="2">
      <t>ネンカン</t>
    </rPh>
    <rPh sb="2" eb="4">
      <t>トウニュウ</t>
    </rPh>
    <phoneticPr fontId="3"/>
  </si>
  <si>
    <t>売掛金</t>
    <rPh sb="0" eb="2">
      <t>ウリカケ</t>
    </rPh>
    <rPh sb="2" eb="3">
      <t>キン</t>
    </rPh>
    <phoneticPr fontId="3"/>
  </si>
  <si>
    <t>期首</t>
    <rPh sb="0" eb="2">
      <t>キシュ</t>
    </rPh>
    <phoneticPr fontId="3"/>
  </si>
  <si>
    <t>増加</t>
    <rPh sb="0" eb="2">
      <t>ゾウカ</t>
    </rPh>
    <phoneticPr fontId="3"/>
  </si>
  <si>
    <t>回収</t>
    <rPh sb="0" eb="2">
      <t>カイシュウ</t>
    </rPh>
    <phoneticPr fontId="3"/>
  </si>
  <si>
    <t>期末</t>
    <rPh sb="0" eb="2">
      <t>キマツ</t>
    </rPh>
    <phoneticPr fontId="3"/>
  </si>
  <si>
    <t>買掛金</t>
    <rPh sb="0" eb="3">
      <t>カイカケキン</t>
    </rPh>
    <phoneticPr fontId="3"/>
  </si>
  <si>
    <t>期首</t>
    <rPh sb="0" eb="2">
      <t>キシュ</t>
    </rPh>
    <phoneticPr fontId="3"/>
  </si>
  <si>
    <t>増加</t>
    <rPh sb="0" eb="2">
      <t>ゾウカ</t>
    </rPh>
    <phoneticPr fontId="3"/>
  </si>
  <si>
    <t>期末</t>
    <rPh sb="0" eb="2">
      <t>キマツ</t>
    </rPh>
    <phoneticPr fontId="3"/>
  </si>
  <si>
    <t>買掛金</t>
    <rPh sb="0" eb="3">
      <t>カイカケキン</t>
    </rPh>
    <phoneticPr fontId="3"/>
  </si>
  <si>
    <t>収入</t>
    <rPh sb="0" eb="2">
      <t>シュウニュウ</t>
    </rPh>
    <phoneticPr fontId="3"/>
  </si>
  <si>
    <t>支出合計</t>
    <rPh sb="0" eb="2">
      <t>シシュツ</t>
    </rPh>
    <rPh sb="2" eb="4">
      <t>ゴウケイ</t>
    </rPh>
    <phoneticPr fontId="3"/>
  </si>
  <si>
    <t>1Q</t>
    <phoneticPr fontId="3"/>
  </si>
  <si>
    <t>単位：万円</t>
    <rPh sb="0" eb="2">
      <t>タンイ</t>
    </rPh>
    <rPh sb="3" eb="5">
      <t>マンエン</t>
    </rPh>
    <phoneticPr fontId="3"/>
  </si>
  <si>
    <t xml:space="preserve">  売掛金回収</t>
    <rPh sb="2" eb="4">
      <t>ウリカケ</t>
    </rPh>
    <rPh sb="4" eb="5">
      <t>キン</t>
    </rPh>
    <rPh sb="5" eb="7">
      <t>カイシュウ</t>
    </rPh>
    <phoneticPr fontId="3"/>
  </si>
  <si>
    <t>2Q</t>
    <phoneticPr fontId="3"/>
  </si>
  <si>
    <t>3Q</t>
    <phoneticPr fontId="3"/>
  </si>
  <si>
    <t>4Q</t>
    <phoneticPr fontId="3"/>
  </si>
  <si>
    <t>売掛金回収</t>
    <rPh sb="0" eb="2">
      <t>ウリカケ</t>
    </rPh>
    <rPh sb="2" eb="3">
      <t>キン</t>
    </rPh>
    <rPh sb="3" eb="5">
      <t>カイシュウ</t>
    </rPh>
    <phoneticPr fontId="3"/>
  </si>
  <si>
    <t>支払</t>
    <rPh sb="0" eb="2">
      <t>シハラ</t>
    </rPh>
    <phoneticPr fontId="3"/>
  </si>
  <si>
    <t xml:space="preserve"> 原料費</t>
    <rPh sb="1" eb="3">
      <t>ゲンリョウ</t>
    </rPh>
    <rPh sb="3" eb="4">
      <t>ヒ</t>
    </rPh>
    <phoneticPr fontId="3"/>
  </si>
  <si>
    <t xml:space="preserve"> 労務費</t>
    <rPh sb="1" eb="4">
      <t>ロウムヒ</t>
    </rPh>
    <phoneticPr fontId="3"/>
  </si>
  <si>
    <t xml:space="preserve"> その他経費</t>
    <rPh sb="3" eb="4">
      <t>タ</t>
    </rPh>
    <rPh sb="4" eb="6">
      <t>ケイヒ</t>
    </rPh>
    <phoneticPr fontId="3"/>
  </si>
  <si>
    <t xml:space="preserve">  法人税</t>
    <rPh sb="2" eb="5">
      <t>ホウジンゼイ</t>
    </rPh>
    <phoneticPr fontId="3"/>
  </si>
  <si>
    <t xml:space="preserve">  社債利息</t>
    <rPh sb="2" eb="4">
      <t>シャサイ</t>
    </rPh>
    <rPh sb="4" eb="6">
      <t>リソク</t>
    </rPh>
    <phoneticPr fontId="3"/>
  </si>
  <si>
    <t xml:space="preserve">  機械購入</t>
    <rPh sb="2" eb="4">
      <t>キカイ</t>
    </rPh>
    <rPh sb="4" eb="6">
      <t>コウニュウ</t>
    </rPh>
    <phoneticPr fontId="3"/>
  </si>
  <si>
    <t xml:space="preserve">  配当金</t>
    <rPh sb="2" eb="5">
      <t>ハイトウキン</t>
    </rPh>
    <phoneticPr fontId="3"/>
  </si>
  <si>
    <t>予想現金収支</t>
    <rPh sb="0" eb="2">
      <t>ヨソウ</t>
    </rPh>
    <rPh sb="2" eb="4">
      <t>ゲンキン</t>
    </rPh>
    <rPh sb="4" eb="6">
      <t>シュウシ</t>
    </rPh>
    <phoneticPr fontId="3"/>
  </si>
  <si>
    <t>2Q</t>
    <phoneticPr fontId="3"/>
  </si>
  <si>
    <t>3Q</t>
    <phoneticPr fontId="3"/>
  </si>
  <si>
    <t>年間</t>
    <rPh sb="0" eb="2">
      <t>ネンカン</t>
    </rPh>
    <phoneticPr fontId="3"/>
  </si>
  <si>
    <t>原材料単価</t>
    <rPh sb="0" eb="3">
      <t>ゲンザイリョウ</t>
    </rPh>
    <rPh sb="3" eb="5">
      <t>タンカ</t>
    </rPh>
    <phoneticPr fontId="3"/>
  </si>
  <si>
    <t>仮残高</t>
    <rPh sb="0" eb="1">
      <t>カリ</t>
    </rPh>
    <rPh sb="1" eb="3">
      <t>ザンダカ</t>
    </rPh>
    <phoneticPr fontId="3"/>
  </si>
  <si>
    <t>借入金</t>
    <rPh sb="0" eb="2">
      <t>カリイレ</t>
    </rPh>
    <rPh sb="2" eb="3">
      <t>キン</t>
    </rPh>
    <phoneticPr fontId="3"/>
  </si>
  <si>
    <t>現金再計</t>
    <rPh sb="0" eb="2">
      <t>ゲンキン</t>
    </rPh>
    <rPh sb="2" eb="4">
      <t>サイケイ</t>
    </rPh>
    <phoneticPr fontId="3"/>
  </si>
  <si>
    <t>現金BOX+支払利息の計算</t>
    <rPh sb="0" eb="2">
      <t>ゲンキン</t>
    </rPh>
    <rPh sb="6" eb="8">
      <t>シハライ</t>
    </rPh>
    <rPh sb="8" eb="10">
      <t>リソク</t>
    </rPh>
    <rPh sb="11" eb="13">
      <t>ケイサン</t>
    </rPh>
    <phoneticPr fontId="3"/>
  </si>
  <si>
    <t>年間支払利息</t>
    <rPh sb="0" eb="2">
      <t>ネンカン</t>
    </rPh>
    <rPh sb="2" eb="4">
      <t>シハライ</t>
    </rPh>
    <rPh sb="4" eb="6">
      <t>リソク</t>
    </rPh>
    <phoneticPr fontId="3"/>
  </si>
  <si>
    <t>利息率</t>
    <rPh sb="0" eb="2">
      <t>リソク</t>
    </rPh>
    <rPh sb="2" eb="3">
      <t>リツ</t>
    </rPh>
    <phoneticPr fontId="3"/>
  </si>
  <si>
    <t>未払法人税等</t>
    <rPh sb="0" eb="2">
      <t>ミハラ</t>
    </rPh>
    <rPh sb="2" eb="5">
      <t>ホウジンゼイ</t>
    </rPh>
    <rPh sb="5" eb="6">
      <t>トウ</t>
    </rPh>
    <phoneticPr fontId="3"/>
  </si>
  <si>
    <t xml:space="preserve">  うち期末未払</t>
    <rPh sb="4" eb="6">
      <t>キマツ</t>
    </rPh>
    <rPh sb="6" eb="8">
      <t>ミハラ</t>
    </rPh>
    <phoneticPr fontId="3"/>
  </si>
  <si>
    <t xml:space="preserve">    あとで検算して一致すればラッキー程度に</t>
    <rPh sb="7" eb="9">
      <t>ケンザン</t>
    </rPh>
    <rPh sb="11" eb="13">
      <t>イッチ</t>
    </rPh>
    <rPh sb="20" eb="22">
      <t>テイド</t>
    </rPh>
    <phoneticPr fontId="3"/>
  </si>
  <si>
    <t>繰越利益剰余金</t>
    <rPh sb="0" eb="2">
      <t>クリコシ</t>
    </rPh>
    <rPh sb="2" eb="4">
      <t>リエキ</t>
    </rPh>
    <rPh sb="4" eb="7">
      <t>ジョウヨキン</t>
    </rPh>
    <phoneticPr fontId="3"/>
  </si>
  <si>
    <t>当期純利益</t>
    <rPh sb="0" eb="2">
      <t>トウキ</t>
    </rPh>
    <rPh sb="2" eb="3">
      <t>ジュン</t>
    </rPh>
    <rPh sb="3" eb="5">
      <t>リエキ</t>
    </rPh>
    <phoneticPr fontId="3"/>
  </si>
  <si>
    <t>配当+処分</t>
    <rPh sb="0" eb="2">
      <t>ハイトウ</t>
    </rPh>
    <rPh sb="3" eb="5">
      <t>ショブン</t>
    </rPh>
    <phoneticPr fontId="3"/>
  </si>
  <si>
    <t>任意積立金増加</t>
    <rPh sb="0" eb="2">
      <t>ニンイ</t>
    </rPh>
    <rPh sb="2" eb="4">
      <t>ツミタテ</t>
    </rPh>
    <rPh sb="4" eb="5">
      <t>キン</t>
    </rPh>
    <rPh sb="5" eb="7">
      <t>ゾウカ</t>
    </rPh>
    <phoneticPr fontId="3"/>
  </si>
  <si>
    <t>←①ここは一旦差額で求め、</t>
    <rPh sb="5" eb="7">
      <t>イッタン</t>
    </rPh>
    <rPh sb="7" eb="9">
      <t>サガク</t>
    </rPh>
    <rPh sb="10" eb="11">
      <t>モト</t>
    </rPh>
    <phoneticPr fontId="3"/>
  </si>
  <si>
    <t>←①と一致</t>
    <rPh sb="3" eb="5">
      <t>イッチ</t>
    </rPh>
    <phoneticPr fontId="3"/>
  </si>
  <si>
    <t>～資料から単純にコピペ</t>
    <rPh sb="1" eb="3">
      <t>シリョウ</t>
    </rPh>
    <rPh sb="5" eb="7">
      <t>タンジュン</t>
    </rPh>
    <phoneticPr fontId="3"/>
  </si>
  <si>
    <t>今回は計算に使わない</t>
    <rPh sb="0" eb="2">
      <t>コンカイ</t>
    </rPh>
    <rPh sb="3" eb="5">
      <t>ケイサン</t>
    </rPh>
    <rPh sb="6" eb="7">
      <t>ツカ</t>
    </rPh>
    <phoneticPr fontId="3"/>
  </si>
  <si>
    <t>単位：個</t>
    <rPh sb="0" eb="2">
      <t>タンイ</t>
    </rPh>
    <rPh sb="3" eb="4">
      <t>コ</t>
    </rPh>
    <phoneticPr fontId="3"/>
  </si>
  <si>
    <t>↓ここまでは標準原価計算の知識。簿記が苦手な方はパスしてOK。</t>
    <rPh sb="6" eb="8">
      <t>ヒョウジュン</t>
    </rPh>
    <rPh sb="8" eb="10">
      <t>ゲンカ</t>
    </rPh>
    <rPh sb="10" eb="12">
      <t>ケイサン</t>
    </rPh>
    <rPh sb="13" eb="15">
      <t>チシキ</t>
    </rPh>
    <rPh sb="16" eb="18">
      <t>ボキ</t>
    </rPh>
    <rPh sb="19" eb="21">
      <t>ニガテ</t>
    </rPh>
    <rPh sb="22" eb="23">
      <t>カタ</t>
    </rPh>
    <phoneticPr fontId="3"/>
  </si>
  <si>
    <t>↓ここまでが予算(予想PL＋BS)の作成。なんとなくイメージができれば十分。</t>
    <rPh sb="6" eb="8">
      <t>ヨサン</t>
    </rPh>
    <rPh sb="9" eb="11">
      <t>ヨソウ</t>
    </rPh>
    <rPh sb="18" eb="20">
      <t>サクセイ</t>
    </rPh>
    <rPh sb="35" eb="37">
      <t>ジュウブン</t>
    </rPh>
    <phoneticPr fontId="3"/>
  </si>
  <si>
    <t>↓ここから下が資金繰り表。ここから借入利息を計算。エクセルならなんとなくイメージがわかる。</t>
    <rPh sb="5" eb="6">
      <t>シタ</t>
    </rPh>
    <rPh sb="7" eb="9">
      <t>シキン</t>
    </rPh>
    <rPh sb="9" eb="10">
      <t>グ</t>
    </rPh>
    <rPh sb="11" eb="12">
      <t>ヒョウ</t>
    </rPh>
    <rPh sb="17" eb="19">
      <t>カリイレ</t>
    </rPh>
    <rPh sb="19" eb="21">
      <t>リソク</t>
    </rPh>
    <rPh sb="22" eb="24">
      <t>ケイサン</t>
    </rPh>
    <phoneticPr fontId="3"/>
  </si>
  <si>
    <t>問題⑫：予算編成</t>
    <rPh sb="0" eb="2">
      <t>モンダイ</t>
    </rPh>
    <rPh sb="4" eb="6">
      <t>ヨサン</t>
    </rPh>
    <rPh sb="6" eb="8">
      <t>ヘンセイ</t>
    </rPh>
    <phoneticPr fontId="3"/>
  </si>
  <si>
    <t>売上高</t>
    <rPh sb="0" eb="2">
      <t>ウリアゲ</t>
    </rPh>
    <rPh sb="2" eb="3">
      <t>ダカ</t>
    </rPh>
    <phoneticPr fontId="3"/>
  </si>
  <si>
    <t>変動売上原価</t>
    <rPh sb="0" eb="2">
      <t>ヘンドウ</t>
    </rPh>
    <rPh sb="2" eb="4">
      <t>ウリアゲ</t>
    </rPh>
    <rPh sb="4" eb="6">
      <t>ゲンカ</t>
    </rPh>
    <phoneticPr fontId="3"/>
  </si>
  <si>
    <t>変動製造マージン</t>
    <rPh sb="0" eb="2">
      <t>ヘンドウ</t>
    </rPh>
    <rPh sb="2" eb="4">
      <t>セイゾウ</t>
    </rPh>
    <phoneticPr fontId="3"/>
  </si>
  <si>
    <t>変動販売費</t>
    <rPh sb="0" eb="2">
      <t>ヘンドウ</t>
    </rPh>
    <rPh sb="2" eb="5">
      <t>ハンバイヒ</t>
    </rPh>
    <phoneticPr fontId="3"/>
  </si>
  <si>
    <t>貢献利益</t>
    <rPh sb="0" eb="2">
      <t>コウケン</t>
    </rPh>
    <rPh sb="2" eb="4">
      <t>リエキ</t>
    </rPh>
    <phoneticPr fontId="3"/>
  </si>
  <si>
    <t>固定費</t>
    <rPh sb="0" eb="3">
      <t>コテイヒ</t>
    </rPh>
    <phoneticPr fontId="3"/>
  </si>
  <si>
    <t xml:space="preserve">  加工費</t>
    <rPh sb="2" eb="5">
      <t>カコウヒ</t>
    </rPh>
    <phoneticPr fontId="3"/>
  </si>
  <si>
    <t xml:space="preserve">  販管費</t>
    <rPh sb="2" eb="5">
      <t>ハンカンヒ</t>
    </rPh>
    <phoneticPr fontId="3"/>
  </si>
  <si>
    <t xml:space="preserve">  固定費計</t>
    <rPh sb="2" eb="5">
      <t>コテイヒ</t>
    </rPh>
    <rPh sb="5" eb="6">
      <t>ケイ</t>
    </rPh>
    <phoneticPr fontId="3"/>
  </si>
  <si>
    <t>営業利益</t>
    <rPh sb="0" eb="2">
      <t>エイギョウ</t>
    </rPh>
    <rPh sb="2" eb="4">
      <t>リエキ</t>
    </rPh>
    <phoneticPr fontId="3"/>
  </si>
  <si>
    <t>支払利息</t>
    <rPh sb="0" eb="2">
      <t>シハライ</t>
    </rPh>
    <rPh sb="2" eb="4">
      <t>リソク</t>
    </rPh>
    <phoneticPr fontId="3"/>
  </si>
  <si>
    <t>経常利益</t>
    <rPh sb="0" eb="2">
      <t>ケイツネ</t>
    </rPh>
    <rPh sb="2" eb="4">
      <t>リエキ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</si>
  <si>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</si>
  <si>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</si>
  <si>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X1年度予定BS</t>
    <rPh sb="2" eb="4">
      <t>ネンド</t>
    </rPh>
    <rPh sb="4" eb="6">
      <t>ヨテイ</t>
    </rPh>
    <phoneticPr fontId="3"/>
  </si>
  <si>
    <t>X1年度予定PL</t>
    <rPh sb="2" eb="4">
      <t>ネンド</t>
    </rPh>
    <rPh sb="4" eb="6">
      <t>ヨテイ</t>
    </rPh>
    <phoneticPr fontId="3"/>
  </si>
  <si>
    <t>流動資産</t>
    <rPh sb="0" eb="2">
      <t>リュウドウ</t>
    </rPh>
    <rPh sb="2" eb="4">
      <t>シサン</t>
    </rPh>
    <phoneticPr fontId="3"/>
  </si>
  <si>
    <t xml:space="preserve">  現金</t>
    <rPh sb="2" eb="4">
      <t>ゲンキン</t>
    </rPh>
    <phoneticPr fontId="3"/>
  </si>
  <si>
    <t xml:space="preserve">  売掛金</t>
    <rPh sb="2" eb="4">
      <t>ウリカケ</t>
    </rPh>
    <rPh sb="4" eb="5">
      <t>キン</t>
    </rPh>
    <phoneticPr fontId="3"/>
  </si>
  <si>
    <t xml:space="preserve">  製品</t>
    <rPh sb="2" eb="4">
      <t>セイヒン</t>
    </rPh>
    <phoneticPr fontId="3"/>
  </si>
  <si>
    <t xml:space="preserve">  原料</t>
    <rPh sb="2" eb="4">
      <t>ゲンリョウ</t>
    </rPh>
    <phoneticPr fontId="3"/>
  </si>
  <si>
    <t xml:space="preserve">  流動資産計</t>
    <rPh sb="2" eb="4">
      <t>リュウドウ</t>
    </rPh>
    <rPh sb="4" eb="6">
      <t>シサン</t>
    </rPh>
    <rPh sb="6" eb="7">
      <t>ケイ</t>
    </rPh>
    <phoneticPr fontId="3"/>
  </si>
  <si>
    <t>固定資産</t>
    <rPh sb="0" eb="2">
      <t>コテイ</t>
    </rPh>
    <rPh sb="2" eb="4">
      <t>シサン</t>
    </rPh>
    <phoneticPr fontId="3"/>
  </si>
  <si>
    <t xml:space="preserve">  土地</t>
    <rPh sb="2" eb="4">
      <t>トチ</t>
    </rPh>
    <phoneticPr fontId="3"/>
  </si>
  <si>
    <t xml:space="preserve">  建物・設備</t>
    <rPh sb="2" eb="4">
      <t>タテモノ</t>
    </rPh>
    <rPh sb="5" eb="7">
      <t>セツビ</t>
    </rPh>
    <phoneticPr fontId="3"/>
  </si>
  <si>
    <t xml:space="preserve">  固定資産計</t>
    <rPh sb="2" eb="4">
      <t>コテイ</t>
    </rPh>
    <rPh sb="4" eb="6">
      <t>シサン</t>
    </rPh>
    <rPh sb="6" eb="7">
      <t>ケイ</t>
    </rPh>
    <phoneticPr fontId="3"/>
  </si>
  <si>
    <t>資産計</t>
    <rPh sb="0" eb="2">
      <t>シサン</t>
    </rPh>
    <rPh sb="2" eb="3">
      <t>ケイ</t>
    </rPh>
    <phoneticPr fontId="3"/>
  </si>
  <si>
    <t>流動負債</t>
    <rPh sb="0" eb="2">
      <t>リュウドウ</t>
    </rPh>
    <rPh sb="2" eb="4">
      <t>フサイ</t>
    </rPh>
    <phoneticPr fontId="3"/>
  </si>
  <si>
    <t xml:space="preserve">  買掛金</t>
    <rPh sb="2" eb="5">
      <t>カイカケキン</t>
    </rPh>
    <phoneticPr fontId="3"/>
  </si>
  <si>
    <t xml:space="preserve">  借入金</t>
    <rPh sb="2" eb="4">
      <t>カリイレ</t>
    </rPh>
    <rPh sb="4" eb="5">
      <t>キン</t>
    </rPh>
    <phoneticPr fontId="3"/>
  </si>
  <si>
    <t xml:space="preserve">  流動負債計</t>
    <rPh sb="2" eb="4">
      <t>リュウドウ</t>
    </rPh>
    <rPh sb="4" eb="6">
      <t>フサイ</t>
    </rPh>
    <rPh sb="6" eb="7">
      <t>ケイ</t>
    </rPh>
    <phoneticPr fontId="3"/>
  </si>
  <si>
    <t>固定負債</t>
    <rPh sb="0" eb="2">
      <t>コテイ</t>
    </rPh>
    <rPh sb="2" eb="4">
      <t>フサイ</t>
    </rPh>
    <phoneticPr fontId="3"/>
  </si>
  <si>
    <t>純資産</t>
    <rPh sb="0" eb="3">
      <t>ジュンシサン</t>
    </rPh>
    <phoneticPr fontId="3"/>
  </si>
  <si>
    <t xml:space="preserve">  資本金</t>
    <rPh sb="2" eb="5">
      <t>シホンキン</t>
    </rPh>
    <phoneticPr fontId="3"/>
  </si>
  <si>
    <t xml:space="preserve">  資本剰余金</t>
    <rPh sb="2" eb="4">
      <t>シホン</t>
    </rPh>
    <rPh sb="4" eb="7">
      <t>ジョウヨキン</t>
    </rPh>
    <phoneticPr fontId="3"/>
  </si>
  <si>
    <t xml:space="preserve">  利益剰余金</t>
    <rPh sb="2" eb="4">
      <t>リエキ</t>
    </rPh>
    <rPh sb="4" eb="7">
      <t>ジョウヨキン</t>
    </rPh>
    <phoneticPr fontId="3"/>
  </si>
  <si>
    <t xml:space="preserve">  純資産計</t>
    <rPh sb="2" eb="5">
      <t>ジュンシサン</t>
    </rPh>
    <rPh sb="5" eb="6">
      <t>ケイ</t>
    </rPh>
    <phoneticPr fontId="3"/>
  </si>
  <si>
    <t>負債・純資産計</t>
    <rPh sb="0" eb="2">
      <t>フサイ</t>
    </rPh>
    <rPh sb="3" eb="6">
      <t>ジュンシサン</t>
    </rPh>
    <rPh sb="6" eb="7">
      <t>ケイ</t>
    </rPh>
    <phoneticPr fontId="3"/>
  </si>
  <si>
    <t>期首</t>
    <rPh sb="0" eb="2">
      <t>キシュ</t>
    </rPh>
    <phoneticPr fontId="3"/>
  </si>
  <si>
    <t>直接原価計算</t>
    <rPh sb="0" eb="2">
      <t>チョクセツ</t>
    </rPh>
    <rPh sb="2" eb="4">
      <t>ゲンカ</t>
    </rPh>
    <rPh sb="4" eb="6">
      <t>ケイサン</t>
    </rPh>
    <phoneticPr fontId="3"/>
  </si>
  <si>
    <t>変動費</t>
    <rPh sb="0" eb="2">
      <t>ヘンドウ</t>
    </rPh>
    <rPh sb="2" eb="3">
      <t>ヒ</t>
    </rPh>
    <phoneticPr fontId="3"/>
  </si>
  <si>
    <t>製品BOX</t>
    <rPh sb="0" eb="2">
      <t>セイヒン</t>
    </rPh>
    <phoneticPr fontId="3"/>
  </si>
  <si>
    <t>1月</t>
    <rPh sb="1" eb="2">
      <t>ガツ</t>
    </rPh>
    <phoneticPr fontId="3"/>
  </si>
  <si>
    <t>月初</t>
    <rPh sb="0" eb="2">
      <t>ゲッショ</t>
    </rPh>
    <phoneticPr fontId="3"/>
  </si>
  <si>
    <t>当月完成</t>
    <rPh sb="0" eb="2">
      <t>トウゲツ</t>
    </rPh>
    <rPh sb="2" eb="4">
      <t>カンセイ</t>
    </rPh>
    <phoneticPr fontId="3"/>
  </si>
  <si>
    <t>月末</t>
    <rPh sb="0" eb="2">
      <t>ゲツマツ</t>
    </rPh>
    <phoneticPr fontId="3"/>
  </si>
  <si>
    <t>当月販売</t>
    <rPh sb="0" eb="2">
      <t>トウゲツ</t>
    </rPh>
    <rPh sb="2" eb="4">
      <t>ハンバイ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</si>
  <si>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</si>
  <si>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</si>
  <si>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単位：個</t>
    <rPh sb="0" eb="2">
      <t>タンイ</t>
    </rPh>
    <rPh sb="3" eb="4">
      <t>コ</t>
    </rPh>
    <phoneticPr fontId="3"/>
  </si>
  <si>
    <t>売上高予算</t>
    <rPh sb="0" eb="2">
      <t>ウリアゲ</t>
    </rPh>
    <rPh sb="2" eb="3">
      <t>ダカ</t>
    </rPh>
    <rPh sb="3" eb="5">
      <t>ヨサン</t>
    </rPh>
    <phoneticPr fontId="3"/>
  </si>
  <si>
    <t>4月</t>
    <rPh sb="1" eb="2">
      <t>ガツ</t>
    </rPh>
    <phoneticPr fontId="3"/>
  </si>
  <si>
    <t>原料BOX</t>
    <rPh sb="0" eb="2">
      <t>ゲンリョウ</t>
    </rPh>
    <phoneticPr fontId="3"/>
  </si>
  <si>
    <t>単位：kg</t>
    <rPh sb="0" eb="2">
      <t>タンイ</t>
    </rPh>
    <phoneticPr fontId="3"/>
  </si>
  <si>
    <t>当月購入</t>
    <rPh sb="0" eb="2">
      <t>トウゲツ</t>
    </rPh>
    <rPh sb="2" eb="4">
      <t>コウニュウ</t>
    </rPh>
    <phoneticPr fontId="3"/>
  </si>
  <si>
    <t>当月消費</t>
    <rPh sb="0" eb="2">
      <t>トウゲツ</t>
    </rPh>
    <rPh sb="2" eb="4">
      <t>ショウヒ</t>
    </rPh>
    <phoneticPr fontId="3"/>
  </si>
  <si>
    <t>↓ここから下が資金繰り＋借入利息の計算用。ただし2か月分をBOXで計算する。</t>
    <rPh sb="5" eb="6">
      <t>シタ</t>
    </rPh>
    <rPh sb="7" eb="9">
      <t>シキン</t>
    </rPh>
    <rPh sb="9" eb="10">
      <t>グ</t>
    </rPh>
    <rPh sb="12" eb="14">
      <t>カリイレ</t>
    </rPh>
    <rPh sb="14" eb="16">
      <t>リソク</t>
    </rPh>
    <rPh sb="17" eb="20">
      <t>ケイサンヨウ</t>
    </rPh>
    <rPh sb="26" eb="28">
      <t>ゲツブン</t>
    </rPh>
    <rPh sb="33" eb="35">
      <t>ケイサン</t>
    </rPh>
    <phoneticPr fontId="3"/>
  </si>
  <si>
    <t>売掛金</t>
    <rPh sb="0" eb="2">
      <t>ウリカケ</t>
    </rPh>
    <rPh sb="2" eb="3">
      <t>キン</t>
    </rPh>
    <phoneticPr fontId="3"/>
  </si>
  <si>
    <t>当月増加</t>
    <rPh sb="0" eb="2">
      <t>トウゲツ</t>
    </rPh>
    <rPh sb="2" eb="4">
      <t>ゾウカ</t>
    </rPh>
    <phoneticPr fontId="3"/>
  </si>
  <si>
    <t>当月減少</t>
    <rPh sb="0" eb="2">
      <t>トウゲツ</t>
    </rPh>
    <rPh sb="2" eb="4">
      <t>ゲンショウ</t>
    </rPh>
    <phoneticPr fontId="3"/>
  </si>
  <si>
    <t>買掛金</t>
    <rPh sb="0" eb="3">
      <t>カイカケキン</t>
    </rPh>
    <phoneticPr fontId="3"/>
  </si>
  <si>
    <t>現金</t>
    <rPh sb="0" eb="2">
      <t>ゲンキン</t>
    </rPh>
    <phoneticPr fontId="3"/>
  </si>
  <si>
    <t>現金売上高</t>
    <rPh sb="0" eb="2">
      <t>ゲンキン</t>
    </rPh>
    <rPh sb="2" eb="4">
      <t>ウリアゲ</t>
    </rPh>
    <rPh sb="4" eb="5">
      <t>ダカ</t>
    </rPh>
    <phoneticPr fontId="3"/>
  </si>
  <si>
    <t>売掛金回収高</t>
    <rPh sb="0" eb="2">
      <t>ウリカケ</t>
    </rPh>
    <rPh sb="2" eb="3">
      <t>キン</t>
    </rPh>
    <rPh sb="3" eb="5">
      <t>カイシュウ</t>
    </rPh>
    <rPh sb="5" eb="6">
      <t>ダカ</t>
    </rPh>
    <phoneticPr fontId="3"/>
  </si>
  <si>
    <t>借入金</t>
    <rPh sb="0" eb="2">
      <t>カリイレ</t>
    </rPh>
    <rPh sb="2" eb="3">
      <t>キン</t>
    </rPh>
    <phoneticPr fontId="3"/>
  </si>
  <si>
    <t>原料購入高</t>
    <rPh sb="0" eb="2">
      <t>ゲンリョウ</t>
    </rPh>
    <rPh sb="2" eb="5">
      <t>コウニュウダカ</t>
    </rPh>
    <phoneticPr fontId="3"/>
  </si>
  <si>
    <t>買掛金決済高</t>
    <rPh sb="0" eb="3">
      <t>カイカケキン</t>
    </rPh>
    <rPh sb="3" eb="5">
      <t>ケッサイ</t>
    </rPh>
    <rPh sb="5" eb="6">
      <t>ダカ</t>
    </rPh>
    <phoneticPr fontId="3"/>
  </si>
  <si>
    <t>その他支払高</t>
    <rPh sb="2" eb="3">
      <t>タ</t>
    </rPh>
    <rPh sb="3" eb="5">
      <t>シハライ</t>
    </rPh>
    <rPh sb="5" eb="6">
      <t>ダカ</t>
    </rPh>
    <phoneticPr fontId="3"/>
  </si>
  <si>
    <t>支払利息</t>
    <rPh sb="0" eb="2">
      <t>シハラ</t>
    </rPh>
    <rPh sb="2" eb="4">
      <t>リソク</t>
    </rPh>
    <phoneticPr fontId="3"/>
  </si>
  <si>
    <t>借入金返済高</t>
    <rPh sb="0" eb="2">
      <t>カリイレ</t>
    </rPh>
    <rPh sb="2" eb="3">
      <t>キン</t>
    </rPh>
    <rPh sb="3" eb="5">
      <t>ヘンサイ</t>
    </rPh>
    <rPh sb="5" eb="6">
      <t>タカ</t>
    </rPh>
    <phoneticPr fontId="3"/>
  </si>
  <si>
    <t>予想現金支出</t>
    <rPh sb="0" eb="2">
      <t>ヨソウ</t>
    </rPh>
    <rPh sb="2" eb="4">
      <t>ゲンキン</t>
    </rPh>
    <rPh sb="4" eb="6">
      <t>シシュツ</t>
    </rPh>
    <phoneticPr fontId="3"/>
  </si>
  <si>
    <t>月末に保有すべき現金</t>
    <rPh sb="0" eb="2">
      <t>ゲツマツ</t>
    </rPh>
    <rPh sb="3" eb="5">
      <t>ホユウ</t>
    </rPh>
    <rPh sb="8" eb="10">
      <t>ゲンキン</t>
    </rPh>
    <phoneticPr fontId="3"/>
  </si>
  <si>
    <t>当月借入</t>
    <rPh sb="0" eb="2">
      <t>トウゲツ</t>
    </rPh>
    <rPh sb="2" eb="4">
      <t>カリイレ</t>
    </rPh>
    <phoneticPr fontId="3"/>
  </si>
  <si>
    <t>当月返済</t>
    <rPh sb="0" eb="2">
      <t>トウゲツ</t>
    </rPh>
    <rPh sb="2" eb="4">
      <t>ヘンサイ</t>
    </rPh>
    <phoneticPr fontId="3"/>
  </si>
  <si>
    <t>支払利息率(月)</t>
    <rPh sb="0" eb="2">
      <t>シハラ</t>
    </rPh>
    <rPh sb="2" eb="4">
      <t>リソク</t>
    </rPh>
    <rPh sb="4" eb="5">
      <t>リツ</t>
    </rPh>
    <rPh sb="6" eb="7">
      <t>ツキ</t>
    </rPh>
    <phoneticPr fontId="3"/>
  </si>
  <si>
    <t>うち機械購入</t>
    <rPh sb="2" eb="4">
      <t>キカイ</t>
    </rPh>
    <rPh sb="4" eb="6">
      <t>コウニュウ</t>
    </rPh>
    <phoneticPr fontId="3"/>
  </si>
  <si>
    <t>←差額で求めた。</t>
    <rPh sb="1" eb="3">
      <t>サガク</t>
    </rPh>
    <rPh sb="4" eb="5">
      <t>モト</t>
    </rPh>
    <phoneticPr fontId="3"/>
  </si>
  <si>
    <t>利益剰余金の変動(関数)</t>
    <rPh sb="0" eb="2">
      <t>リエキ</t>
    </rPh>
    <rPh sb="2" eb="5">
      <t>ジョウヨキン</t>
    </rPh>
    <rPh sb="6" eb="8">
      <t>ヘンドウ</t>
    </rPh>
    <rPh sb="9" eb="11">
      <t>カンスウ</t>
    </rPh>
    <phoneticPr fontId="3"/>
  </si>
  <si>
    <t>OK</t>
    <phoneticPr fontId="3"/>
  </si>
  <si>
    <t>万円/年</t>
    <rPh sb="0" eb="1">
      <t>マン</t>
    </rPh>
    <rPh sb="1" eb="2">
      <t>エン</t>
    </rPh>
    <rPh sb="3" eb="4">
      <t>ネン</t>
    </rPh>
    <phoneticPr fontId="3"/>
  </si>
  <si>
    <t xml:space="preserve">  原材料</t>
    <rPh sb="2" eb="5">
      <t>ゲンザイリョウ</t>
    </rPh>
    <phoneticPr fontId="3"/>
  </si>
  <si>
    <t xml:space="preserve">  製造費</t>
    <rPh sb="2" eb="4">
      <t>セイゾウ</t>
    </rPh>
    <rPh sb="4" eb="5">
      <t>ヒ</t>
    </rPh>
    <phoneticPr fontId="3"/>
  </si>
  <si>
    <t xml:space="preserve">  販管費</t>
    <rPh sb="2" eb="5">
      <t>ハンカンヒ</t>
    </rPh>
    <phoneticPr fontId="3"/>
  </si>
  <si>
    <t xml:space="preserve">  固定費計</t>
    <rPh sb="2" eb="5">
      <t>コテイヒ</t>
    </rPh>
    <rPh sb="5" eb="6">
      <t>ケイ</t>
    </rPh>
    <phoneticPr fontId="3"/>
  </si>
  <si>
    <t xml:space="preserve">  営業利益</t>
    <rPh sb="2" eb="4">
      <t>エイギョウ</t>
    </rPh>
    <rPh sb="4" eb="6">
      <t>リエキ</t>
    </rPh>
    <phoneticPr fontId="3"/>
  </si>
  <si>
    <t>金利</t>
    <rPh sb="0" eb="2">
      <t>キンリ</t>
    </rPh>
    <phoneticPr fontId="3"/>
  </si>
  <si>
    <t>未払利息</t>
    <rPh sb="0" eb="2">
      <t>ミハラ</t>
    </rPh>
    <rPh sb="2" eb="4">
      <t>リソク</t>
    </rPh>
    <phoneticPr fontId="3"/>
  </si>
  <si>
    <t xml:space="preserve">  未払費用</t>
    <rPh sb="2" eb="4">
      <t>ミハラ</t>
    </rPh>
    <rPh sb="4" eb="6">
      <t>ヒヨウ</t>
    </rPh>
    <phoneticPr fontId="3"/>
  </si>
  <si>
    <t>Ⅰ 売上高</t>
    <rPh sb="2" eb="4">
      <t>ウリアゲ</t>
    </rPh>
    <rPh sb="4" eb="5">
      <t>ダカ</t>
    </rPh>
    <phoneticPr fontId="3"/>
  </si>
  <si>
    <t>Ⅱ 変動売上原価</t>
    <rPh sb="2" eb="4">
      <t>ヘンドウ</t>
    </rPh>
    <rPh sb="4" eb="6">
      <t>ウリアゲ</t>
    </rPh>
    <rPh sb="6" eb="8">
      <t>ゲンカ</t>
    </rPh>
    <phoneticPr fontId="3"/>
  </si>
  <si>
    <t xml:space="preserve">      変動製造マージン</t>
    <rPh sb="6" eb="8">
      <t>ヘンドウ</t>
    </rPh>
    <rPh sb="8" eb="10">
      <t>セイゾウ</t>
    </rPh>
    <phoneticPr fontId="3"/>
  </si>
  <si>
    <t xml:space="preserve">     貢献利益</t>
    <rPh sb="5" eb="7">
      <t>コウケン</t>
    </rPh>
    <rPh sb="7" eb="9">
      <t>リエキ</t>
    </rPh>
    <phoneticPr fontId="3"/>
  </si>
  <si>
    <t>Ⅲ 変動販売費</t>
    <rPh sb="2" eb="4">
      <t>ヘンドウ</t>
    </rPh>
    <rPh sb="4" eb="7">
      <t>ハンバイヒ</t>
    </rPh>
    <phoneticPr fontId="3"/>
  </si>
  <si>
    <t>Ⅳ 管理可能個別固定費</t>
    <rPh sb="2" eb="4">
      <t>カンリ</t>
    </rPh>
    <rPh sb="4" eb="6">
      <t>カノウ</t>
    </rPh>
    <rPh sb="6" eb="8">
      <t>コベツ</t>
    </rPh>
    <rPh sb="8" eb="11">
      <t>コテイヒ</t>
    </rPh>
    <phoneticPr fontId="3"/>
  </si>
  <si>
    <t xml:space="preserve">    管理可能利益</t>
    <rPh sb="4" eb="6">
      <t>カンリ</t>
    </rPh>
    <rPh sb="6" eb="8">
      <t>カノウ</t>
    </rPh>
    <rPh sb="8" eb="10">
      <t>リエキ</t>
    </rPh>
    <phoneticPr fontId="3"/>
  </si>
  <si>
    <t>Ⅴ 管理不能個別固定費</t>
    <rPh sb="2" eb="4">
      <t>カンリ</t>
    </rPh>
    <rPh sb="4" eb="6">
      <t>フノウ</t>
    </rPh>
    <rPh sb="6" eb="8">
      <t>コベツ</t>
    </rPh>
    <rPh sb="8" eb="11">
      <t>コテイヒ</t>
    </rPh>
    <phoneticPr fontId="3"/>
  </si>
  <si>
    <t xml:space="preserve">    事業部貢献利益</t>
    <rPh sb="4" eb="6">
      <t>ジギョウ</t>
    </rPh>
    <rPh sb="6" eb="7">
      <t>ブ</t>
    </rPh>
    <rPh sb="7" eb="9">
      <t>コウケン</t>
    </rPh>
    <rPh sb="9" eb="11">
      <t>リエキ</t>
    </rPh>
    <phoneticPr fontId="3"/>
  </si>
  <si>
    <t>Ⅵ 共通固定費配賦額</t>
    <rPh sb="2" eb="4">
      <t>キョウツウ</t>
    </rPh>
    <rPh sb="4" eb="7">
      <t>コテイヒ</t>
    </rPh>
    <rPh sb="7" eb="9">
      <t>ハイフ</t>
    </rPh>
    <rPh sb="9" eb="10">
      <t>ガク</t>
    </rPh>
    <phoneticPr fontId="3"/>
  </si>
  <si>
    <t xml:space="preserve">    事業部営業損失</t>
    <rPh sb="4" eb="6">
      <t>ジギョウ</t>
    </rPh>
    <rPh sb="6" eb="7">
      <t>ブ</t>
    </rPh>
    <rPh sb="7" eb="9">
      <t>エイギョウ</t>
    </rPh>
    <rPh sb="9" eb="11">
      <t>ソンシツ</t>
    </rPh>
    <phoneticPr fontId="3"/>
  </si>
  <si>
    <t>資料</t>
    <rPh sb="0" eb="2">
      <t>シリョウ</t>
    </rPh>
    <phoneticPr fontId="3"/>
  </si>
  <si>
    <t>次年度予想PL</t>
    <rPh sb="0" eb="3">
      <t>ジネンド</t>
    </rPh>
    <rPh sb="3" eb="5">
      <t>ヨソウ</t>
    </rPh>
    <phoneticPr fontId="3"/>
  </si>
  <si>
    <t>売上高</t>
    <rPh sb="0" eb="2">
      <t>ウリアゲ</t>
    </rPh>
    <rPh sb="2" eb="3">
      <t>ダカ</t>
    </rPh>
    <phoneticPr fontId="3"/>
  </si>
  <si>
    <t>売上原価</t>
    <rPh sb="0" eb="2">
      <t>ウリアゲ</t>
    </rPh>
    <rPh sb="2" eb="4">
      <t>ゲンカ</t>
    </rPh>
    <phoneticPr fontId="3"/>
  </si>
  <si>
    <t xml:space="preserve">  売上総利益</t>
    <rPh sb="2" eb="4">
      <t>ウリアゲ</t>
    </rPh>
    <rPh sb="4" eb="7">
      <t>ソウリエキ</t>
    </rPh>
    <phoneticPr fontId="3"/>
  </si>
  <si>
    <t>販管費</t>
    <rPh sb="0" eb="3">
      <t>ハンカンヒ</t>
    </rPh>
    <phoneticPr fontId="3"/>
  </si>
  <si>
    <t xml:space="preserve">  営業損失</t>
    <rPh sb="2" eb="4">
      <t>エイギョウ</t>
    </rPh>
    <rPh sb="4" eb="6">
      <t>ソンシツ</t>
    </rPh>
    <phoneticPr fontId="3"/>
  </si>
  <si>
    <t>変動</t>
    <rPh sb="0" eb="2">
      <t>ヘンドウ</t>
    </rPh>
    <phoneticPr fontId="3"/>
  </si>
  <si>
    <t>固定</t>
    <rPh sb="0" eb="2">
      <t>コテイ</t>
    </rPh>
    <phoneticPr fontId="3"/>
  </si>
  <si>
    <t>生産・販売量</t>
    <rPh sb="0" eb="2">
      <t>セイサン</t>
    </rPh>
    <rPh sb="3" eb="5">
      <t>ハンバイ</t>
    </rPh>
    <rPh sb="5" eb="6">
      <t>リョウ</t>
    </rPh>
    <phoneticPr fontId="3"/>
  </si>
  <si>
    <t>変動販売費単価</t>
    <rPh sb="0" eb="2">
      <t>ヘンドウ</t>
    </rPh>
    <rPh sb="2" eb="5">
      <t>ハンバイヒ</t>
    </rPh>
    <rPh sb="5" eb="7">
      <t>タンカ</t>
    </rPh>
    <phoneticPr fontId="3"/>
  </si>
  <si>
    <t>うち跡付け</t>
    <rPh sb="2" eb="3">
      <t>アト</t>
    </rPh>
    <rPh sb="3" eb="4">
      <t>ヅ</t>
    </rPh>
    <phoneticPr fontId="3"/>
  </si>
  <si>
    <t>うち管理可能</t>
    <rPh sb="2" eb="4">
      <t>カンリ</t>
    </rPh>
    <rPh sb="4" eb="6">
      <t>カノウ</t>
    </rPh>
    <phoneticPr fontId="3"/>
  </si>
  <si>
    <t>投下資本</t>
    <rPh sb="0" eb="2">
      <t>トウカ</t>
    </rPh>
    <rPh sb="2" eb="4">
      <t>シホン</t>
    </rPh>
    <phoneticPr fontId="3"/>
  </si>
  <si>
    <t>資本コスト率</t>
    <rPh sb="0" eb="2">
      <t>シホン</t>
    </rPh>
    <rPh sb="5" eb="6">
      <t>リツ</t>
    </rPh>
    <phoneticPr fontId="3"/>
  </si>
  <si>
    <t>問1</t>
    <rPh sb="0" eb="1">
      <t>ト</t>
    </rPh>
    <phoneticPr fontId="3"/>
  </si>
  <si>
    <t>問2</t>
    <rPh sb="0" eb="1">
      <t>ト</t>
    </rPh>
    <phoneticPr fontId="3"/>
  </si>
  <si>
    <t>管理可能利益</t>
    <rPh sb="0" eb="2">
      <t>カンリ</t>
    </rPh>
    <rPh sb="2" eb="4">
      <t>カノウ</t>
    </rPh>
    <rPh sb="4" eb="6">
      <t>リエキ</t>
    </rPh>
    <phoneticPr fontId="3"/>
  </si>
  <si>
    <t>管理可能投資額</t>
    <rPh sb="0" eb="2">
      <t>カンリ</t>
    </rPh>
    <rPh sb="2" eb="4">
      <t>カノウ</t>
    </rPh>
    <rPh sb="4" eb="6">
      <t>トウシ</t>
    </rPh>
    <rPh sb="6" eb="7">
      <t>ガク</t>
    </rPh>
    <phoneticPr fontId="3"/>
  </si>
  <si>
    <t>管理可能投下資本利益率</t>
    <rPh sb="0" eb="2">
      <t>カンリ</t>
    </rPh>
    <rPh sb="2" eb="4">
      <t>カノウ</t>
    </rPh>
    <rPh sb="4" eb="6">
      <t>トウカ</t>
    </rPh>
    <rPh sb="6" eb="8">
      <t>シホン</t>
    </rPh>
    <rPh sb="8" eb="10">
      <t>リエキ</t>
    </rPh>
    <rPh sb="10" eb="11">
      <t>リツ</t>
    </rPh>
    <phoneticPr fontId="3"/>
  </si>
  <si>
    <t>管理可能残余利益</t>
    <rPh sb="0" eb="2">
      <t>カンリ</t>
    </rPh>
    <rPh sb="2" eb="4">
      <t>カノウ</t>
    </rPh>
    <rPh sb="4" eb="6">
      <t>ザンヨ</t>
    </rPh>
    <rPh sb="6" eb="8">
      <t>リエキ</t>
    </rPh>
    <phoneticPr fontId="3"/>
  </si>
  <si>
    <t>問3</t>
    <rPh sb="0" eb="1">
      <t>ト</t>
    </rPh>
    <phoneticPr fontId="3"/>
  </si>
  <si>
    <t>事業部貢献利益</t>
    <rPh sb="0" eb="2">
      <t>ジギョウ</t>
    </rPh>
    <rPh sb="2" eb="3">
      <t>ブ</t>
    </rPh>
    <rPh sb="3" eb="5">
      <t>コウケン</t>
    </rPh>
    <rPh sb="5" eb="7">
      <t>リエキ</t>
    </rPh>
    <phoneticPr fontId="3"/>
  </si>
  <si>
    <t>事業部総投資額</t>
    <rPh sb="0" eb="2">
      <t>ジギョウ</t>
    </rPh>
    <rPh sb="2" eb="3">
      <t>ブ</t>
    </rPh>
    <rPh sb="3" eb="4">
      <t>ソウ</t>
    </rPh>
    <rPh sb="4" eb="6">
      <t>トウシ</t>
    </rPh>
    <rPh sb="6" eb="7">
      <t>ガク</t>
    </rPh>
    <phoneticPr fontId="3"/>
  </si>
  <si>
    <t>投下資本利益率</t>
    <rPh sb="0" eb="2">
      <t>トウカ</t>
    </rPh>
    <rPh sb="2" eb="4">
      <t>シホン</t>
    </rPh>
    <rPh sb="4" eb="6">
      <t>リエキ</t>
    </rPh>
    <rPh sb="6" eb="7">
      <t>リツ</t>
    </rPh>
    <phoneticPr fontId="3"/>
  </si>
  <si>
    <t>残余利益</t>
    <rPh sb="0" eb="2">
      <t>ザンヨ</t>
    </rPh>
    <rPh sb="2" eb="4">
      <t>リエキ</t>
    </rPh>
    <phoneticPr fontId="3"/>
  </si>
  <si>
    <t>問4  新規投資実施後の管理可能○○を調べる</t>
    <rPh sb="0" eb="1">
      <t>ト</t>
    </rPh>
    <rPh sb="4" eb="6">
      <t>シンキ</t>
    </rPh>
    <rPh sb="6" eb="8">
      <t>トウシ</t>
    </rPh>
    <rPh sb="8" eb="10">
      <t>ジッシ</t>
    </rPh>
    <rPh sb="10" eb="11">
      <t>ゴ</t>
    </rPh>
    <rPh sb="12" eb="14">
      <t>カンリ</t>
    </rPh>
    <rPh sb="14" eb="16">
      <t>カノウ</t>
    </rPh>
    <rPh sb="19" eb="20">
      <t>シラ</t>
    </rPh>
    <phoneticPr fontId="3"/>
  </si>
  <si>
    <t>新規投資案</t>
    <rPh sb="0" eb="2">
      <t>シンキ</t>
    </rPh>
    <rPh sb="2" eb="4">
      <t>トウシ</t>
    </rPh>
    <rPh sb="4" eb="5">
      <t>アン</t>
    </rPh>
    <phoneticPr fontId="3"/>
  </si>
  <si>
    <t>再計</t>
    <rPh sb="0" eb="2">
      <t>サイケイ</t>
    </rPh>
    <phoneticPr fontId="3"/>
  </si>
  <si>
    <t>←(1)採用しない</t>
    <rPh sb="4" eb="6">
      <t>サイヨウ</t>
    </rPh>
    <phoneticPr fontId="3"/>
  </si>
  <si>
    <t>←(2)採用する</t>
    <rPh sb="4" eb="6">
      <t>サイヨウ</t>
    </rPh>
    <phoneticPr fontId="3"/>
  </si>
  <si>
    <t>(3)率は下がるが、額が上がるので｢採用｣</t>
    <rPh sb="3" eb="4">
      <t>リツ</t>
    </rPh>
    <rPh sb="5" eb="6">
      <t>サ</t>
    </rPh>
    <rPh sb="10" eb="11">
      <t>ガク</t>
    </rPh>
    <rPh sb="12" eb="13">
      <t>ア</t>
    </rPh>
    <rPh sb="18" eb="20">
      <t>サイヨウ</t>
    </rPh>
    <phoneticPr fontId="3"/>
  </si>
  <si>
    <t>問題⑭：</t>
    <rPh sb="0" eb="2">
      <t>モンダイ</t>
    </rPh>
    <phoneticPr fontId="3"/>
  </si>
  <si>
    <t>第5章 CASE19 事業部長と事業部自体の業績評価</t>
    <rPh sb="0" eb="1">
      <t>ダイ</t>
    </rPh>
    <rPh sb="2" eb="3">
      <t>ショウ</t>
    </rPh>
    <rPh sb="11" eb="13">
      <t>ジギョウ</t>
    </rPh>
    <rPh sb="13" eb="15">
      <t>ブチョウ</t>
    </rPh>
    <rPh sb="16" eb="18">
      <t>ジギョウ</t>
    </rPh>
    <rPh sb="18" eb="19">
      <t>ブ</t>
    </rPh>
    <rPh sb="19" eb="21">
      <t>ジタイ</t>
    </rPh>
    <rPh sb="22" eb="24">
      <t>ギョウセキ</t>
    </rPh>
    <rPh sb="24" eb="26">
      <t>ヒョウカ</t>
    </rPh>
    <phoneticPr fontId="3"/>
  </si>
  <si>
    <t>製品事業部別予算PL</t>
    <rPh sb="0" eb="2">
      <t>セイヒン</t>
    </rPh>
    <rPh sb="2" eb="4">
      <t>ジギョウ</t>
    </rPh>
    <rPh sb="4" eb="5">
      <t>ブ</t>
    </rPh>
    <rPh sb="5" eb="6">
      <t>ベツ</t>
    </rPh>
    <rPh sb="6" eb="8">
      <t>ヨサン</t>
    </rPh>
    <phoneticPr fontId="3"/>
  </si>
  <si>
    <t>売上高</t>
    <rPh sb="0" eb="2">
      <t>ウリアゲ</t>
    </rPh>
    <rPh sb="2" eb="3">
      <t>ダカ</t>
    </rPh>
    <phoneticPr fontId="3"/>
  </si>
  <si>
    <t>変動費</t>
    <rPh sb="0" eb="2">
      <t>ヘンドウ</t>
    </rPh>
    <rPh sb="2" eb="3">
      <t>ヒ</t>
    </rPh>
    <phoneticPr fontId="3"/>
  </si>
  <si>
    <t xml:space="preserve">  売上原価</t>
    <rPh sb="2" eb="4">
      <t>ウリアゲ</t>
    </rPh>
    <rPh sb="4" eb="6">
      <t>ゲンカ</t>
    </rPh>
    <phoneticPr fontId="3"/>
  </si>
  <si>
    <t xml:space="preserve">  販売費</t>
    <rPh sb="2" eb="5">
      <t>ハンバイヒ</t>
    </rPh>
    <phoneticPr fontId="3"/>
  </si>
  <si>
    <t xml:space="preserve">     計</t>
    <rPh sb="5" eb="6">
      <t>ケイ</t>
    </rPh>
    <phoneticPr fontId="3"/>
  </si>
  <si>
    <t xml:space="preserve">  貢献利益</t>
    <rPh sb="2" eb="4">
      <t>コウケン</t>
    </rPh>
    <rPh sb="4" eb="6">
      <t>リエキ</t>
    </rPh>
    <phoneticPr fontId="3"/>
  </si>
  <si>
    <t>管理可能個別固定費</t>
    <rPh sb="0" eb="2">
      <t>カンリ</t>
    </rPh>
    <rPh sb="2" eb="4">
      <t>カノウ</t>
    </rPh>
    <rPh sb="4" eb="6">
      <t>コベツ</t>
    </rPh>
    <rPh sb="6" eb="9">
      <t>コテイヒ</t>
    </rPh>
    <phoneticPr fontId="3"/>
  </si>
  <si>
    <t xml:space="preserve">  管理可能利益</t>
    <rPh sb="2" eb="4">
      <t>カンリ</t>
    </rPh>
    <rPh sb="4" eb="6">
      <t>カノウ</t>
    </rPh>
    <rPh sb="6" eb="8">
      <t>リエキ</t>
    </rPh>
    <phoneticPr fontId="3"/>
  </si>
  <si>
    <t>管理不能個別固定費</t>
    <rPh sb="0" eb="2">
      <t>カンリ</t>
    </rPh>
    <rPh sb="2" eb="4">
      <t>フノウ</t>
    </rPh>
    <rPh sb="4" eb="6">
      <t>コベツ</t>
    </rPh>
    <rPh sb="6" eb="9">
      <t>コテイヒ</t>
    </rPh>
    <phoneticPr fontId="3"/>
  </si>
  <si>
    <t xml:space="preserve">  事業部貢献利益</t>
    <rPh sb="2" eb="4">
      <t>ジギョウ</t>
    </rPh>
    <rPh sb="4" eb="5">
      <t>ブ</t>
    </rPh>
    <rPh sb="5" eb="7">
      <t>コウケン</t>
    </rPh>
    <rPh sb="7" eb="9">
      <t>リエキ</t>
    </rPh>
    <phoneticPr fontId="3"/>
  </si>
  <si>
    <t>共通固定費</t>
    <rPh sb="0" eb="2">
      <t>キョウツウ</t>
    </rPh>
    <rPh sb="2" eb="5">
      <t>コテイヒ</t>
    </rPh>
    <phoneticPr fontId="3"/>
  </si>
  <si>
    <t xml:space="preserve">  営業利益</t>
    <rPh sb="2" eb="6">
      <t>エイギョウリエキ</t>
    </rPh>
    <phoneticPr fontId="3"/>
  </si>
  <si>
    <t>製品A</t>
    <rPh sb="0" eb="2">
      <t>セイヒン</t>
    </rPh>
    <phoneticPr fontId="3"/>
  </si>
  <si>
    <t>製品B</t>
    <rPh sb="0" eb="2">
      <t>セイヒン</t>
    </rPh>
    <phoneticPr fontId="3"/>
  </si>
  <si>
    <t>合計</t>
    <rPh sb="0" eb="2">
      <t>ゴウケイ</t>
    </rPh>
    <phoneticPr fontId="3"/>
  </si>
  <si>
    <t>資料</t>
    <rPh sb="0" eb="2">
      <t>シリョウ</t>
    </rPh>
    <phoneticPr fontId="3"/>
  </si>
  <si>
    <t>販売単価</t>
    <rPh sb="0" eb="2">
      <t>ハンバイ</t>
    </rPh>
    <rPh sb="2" eb="4">
      <t>タンカ</t>
    </rPh>
    <phoneticPr fontId="3"/>
  </si>
  <si>
    <t>生産・販売量</t>
    <rPh sb="0" eb="2">
      <t>セイサン</t>
    </rPh>
    <rPh sb="3" eb="5">
      <t>ハンバイ</t>
    </rPh>
    <rPh sb="5" eb="6">
      <t>リョウ</t>
    </rPh>
    <phoneticPr fontId="3"/>
  </si>
  <si>
    <t>直接材料費</t>
    <rPh sb="0" eb="2">
      <t>チョクセツ</t>
    </rPh>
    <rPh sb="2" eb="5">
      <t>ザイリョウヒ</t>
    </rPh>
    <phoneticPr fontId="3"/>
  </si>
  <si>
    <t>直接労務費</t>
    <rPh sb="0" eb="2">
      <t>チョクセツ</t>
    </rPh>
    <rPh sb="2" eb="5">
      <t>ロウムヒ</t>
    </rPh>
    <phoneticPr fontId="3"/>
  </si>
  <si>
    <t>変動製造間接費</t>
    <rPh sb="0" eb="2">
      <t>ヘンドウ</t>
    </rPh>
    <rPh sb="2" eb="4">
      <t>セイゾウ</t>
    </rPh>
    <rPh sb="4" eb="6">
      <t>カンセツ</t>
    </rPh>
    <rPh sb="6" eb="7">
      <t>ヒ</t>
    </rPh>
    <phoneticPr fontId="3"/>
  </si>
  <si>
    <t>変動販売費</t>
    <rPh sb="0" eb="2">
      <t>ヘンドウ</t>
    </rPh>
    <rPh sb="2" eb="5">
      <t>ハンバイヒ</t>
    </rPh>
    <phoneticPr fontId="3"/>
  </si>
  <si>
    <t>予定固定製造原価</t>
    <rPh sb="0" eb="2">
      <t>ヨテイ</t>
    </rPh>
    <rPh sb="2" eb="4">
      <t>コテイ</t>
    </rPh>
    <rPh sb="4" eb="6">
      <t>セイゾウ</t>
    </rPh>
    <rPh sb="6" eb="8">
      <t>ゲンカ</t>
    </rPh>
    <phoneticPr fontId="3"/>
  </si>
  <si>
    <t>円/個</t>
    <rPh sb="0" eb="1">
      <t>エン</t>
    </rPh>
    <rPh sb="2" eb="3">
      <t>コ</t>
    </rPh>
    <phoneticPr fontId="3"/>
  </si>
  <si>
    <t>個</t>
    <rPh sb="0" eb="1">
      <t>コ</t>
    </rPh>
    <phoneticPr fontId="3"/>
  </si>
  <si>
    <t>共通</t>
    <rPh sb="0" eb="2">
      <t>キョウツウ</t>
    </rPh>
    <phoneticPr fontId="3"/>
  </si>
  <si>
    <t>うち管理可能</t>
    <rPh sb="2" eb="4">
      <t>カンリ</t>
    </rPh>
    <rPh sb="4" eb="6">
      <t>カノウ</t>
    </rPh>
    <phoneticPr fontId="3"/>
  </si>
  <si>
    <t>予算固定販管費</t>
    <rPh sb="0" eb="2">
      <t>ヨサン</t>
    </rPh>
    <rPh sb="2" eb="4">
      <t>コテイ</t>
    </rPh>
    <rPh sb="4" eb="7">
      <t>ハンカンヒ</t>
    </rPh>
    <phoneticPr fontId="3"/>
  </si>
  <si>
    <t>事業部投資額</t>
    <rPh sb="0" eb="2">
      <t>ジギョウ</t>
    </rPh>
    <rPh sb="2" eb="3">
      <t>ブ</t>
    </rPh>
    <rPh sb="3" eb="5">
      <t>トウシ</t>
    </rPh>
    <rPh sb="5" eb="6">
      <t>ガク</t>
    </rPh>
    <phoneticPr fontId="3"/>
  </si>
  <si>
    <t>WACC</t>
    <phoneticPr fontId="3"/>
  </si>
  <si>
    <t>法人税率</t>
    <rPh sb="0" eb="2">
      <t>ホウジン</t>
    </rPh>
    <rPh sb="2" eb="4">
      <t>ゼイリツ</t>
    </rPh>
    <phoneticPr fontId="3"/>
  </si>
  <si>
    <t>問1</t>
    <rPh sb="0" eb="1">
      <t>ト</t>
    </rPh>
    <phoneticPr fontId="3"/>
  </si>
  <si>
    <t>問2</t>
    <rPh sb="0" eb="1">
      <t>ト</t>
    </rPh>
    <phoneticPr fontId="3"/>
  </si>
  <si>
    <t>管理可能投資額</t>
    <rPh sb="0" eb="2">
      <t>カンリ</t>
    </rPh>
    <rPh sb="2" eb="4">
      <t>カノウ</t>
    </rPh>
    <rPh sb="4" eb="6">
      <t>トウシ</t>
    </rPh>
    <rPh sb="6" eb="7">
      <t>ガク</t>
    </rPh>
    <phoneticPr fontId="3"/>
  </si>
  <si>
    <t>管理可能資本利益率</t>
    <rPh sb="0" eb="2">
      <t>カンリ</t>
    </rPh>
    <rPh sb="2" eb="4">
      <t>カノウ</t>
    </rPh>
    <rPh sb="4" eb="6">
      <t>シホン</t>
    </rPh>
    <rPh sb="6" eb="8">
      <t>リエキ</t>
    </rPh>
    <rPh sb="8" eb="9">
      <t>リツ</t>
    </rPh>
    <phoneticPr fontId="3"/>
  </si>
  <si>
    <t>残余利益</t>
    <rPh sb="0" eb="2">
      <t>ザンヨ</t>
    </rPh>
    <rPh sb="2" eb="4">
      <t>リエキ</t>
    </rPh>
    <phoneticPr fontId="3"/>
  </si>
  <si>
    <t>管理可能利益(税引後)</t>
    <rPh sb="0" eb="2">
      <t>カンリ</t>
    </rPh>
    <rPh sb="2" eb="4">
      <t>カノウ</t>
    </rPh>
    <rPh sb="4" eb="6">
      <t>リエキ</t>
    </rPh>
    <rPh sb="7" eb="9">
      <t>ゼイビキ</t>
    </rPh>
    <rPh sb="9" eb="10">
      <t>ゴ</t>
    </rPh>
    <phoneticPr fontId="3"/>
  </si>
  <si>
    <t>問3</t>
    <rPh sb="0" eb="1">
      <t>ト</t>
    </rPh>
    <phoneticPr fontId="3"/>
  </si>
  <si>
    <t>事業部貢献利益(税引後)</t>
    <rPh sb="0" eb="2">
      <t>ジギョウ</t>
    </rPh>
    <rPh sb="2" eb="3">
      <t>ブ</t>
    </rPh>
    <rPh sb="3" eb="5">
      <t>コウケン</t>
    </rPh>
    <rPh sb="5" eb="7">
      <t>リエキ</t>
    </rPh>
    <rPh sb="8" eb="10">
      <t>ゼイビキ</t>
    </rPh>
    <rPh sb="10" eb="11">
      <t>ゴ</t>
    </rPh>
    <phoneticPr fontId="3"/>
  </si>
  <si>
    <t>投下資本利益率</t>
    <rPh sb="0" eb="2">
      <t>トウカ</t>
    </rPh>
    <rPh sb="2" eb="4">
      <t>シホン</t>
    </rPh>
    <rPh sb="4" eb="6">
      <t>リエキ</t>
    </rPh>
    <rPh sb="6" eb="7">
      <t>リツ</t>
    </rPh>
    <phoneticPr fontId="3"/>
  </si>
  <si>
    <t>予想PL作成</t>
    <rPh sb="0" eb="2">
      <t>ヨソウ</t>
    </rPh>
    <rPh sb="4" eb="6">
      <t>サクセイ</t>
    </rPh>
    <phoneticPr fontId="3"/>
  </si>
  <si>
    <t>全部/直接原価計算</t>
    <rPh sb="0" eb="2">
      <t>ゼンブ</t>
    </rPh>
    <rPh sb="3" eb="5">
      <t>チョクセツ</t>
    </rPh>
    <rPh sb="5" eb="7">
      <t>ゲンカ</t>
    </rPh>
    <rPh sb="7" eb="9">
      <t>ケイサン</t>
    </rPh>
    <phoneticPr fontId="3"/>
  </si>
  <si>
    <t>固定費調整</t>
    <rPh sb="0" eb="3">
      <t>コテイヒ</t>
    </rPh>
    <rPh sb="3" eb="5">
      <t>チョウセイ</t>
    </rPh>
    <phoneticPr fontId="3"/>
  </si>
  <si>
    <t>SBEP計算</t>
    <rPh sb="4" eb="6">
      <t>ケイサン</t>
    </rPh>
    <phoneticPr fontId="3"/>
  </si>
  <si>
    <t>感度分析</t>
    <rPh sb="0" eb="2">
      <t>カンド</t>
    </rPh>
    <rPh sb="2" eb="4">
      <t>ブンセキ</t>
    </rPh>
    <phoneticPr fontId="3"/>
  </si>
  <si>
    <t>仕掛計算</t>
    <rPh sb="0" eb="2">
      <t>シカカリ</t>
    </rPh>
    <rPh sb="2" eb="4">
      <t>ケイサン</t>
    </rPh>
    <phoneticPr fontId="3"/>
  </si>
  <si>
    <t>○</t>
    <phoneticPr fontId="3"/>
  </si>
  <si>
    <t>固変分解</t>
    <rPh sb="0" eb="2">
      <t>コヘン</t>
    </rPh>
    <rPh sb="2" eb="4">
      <t>ブンカイ</t>
    </rPh>
    <phoneticPr fontId="3"/>
  </si>
  <si>
    <t>◎</t>
    <phoneticPr fontId="3"/>
  </si>
  <si>
    <t>〇</t>
    <phoneticPr fontId="3"/>
  </si>
  <si>
    <t>直</t>
    <rPh sb="0" eb="1">
      <t>チョク</t>
    </rPh>
    <phoneticPr fontId="3"/>
  </si>
  <si>
    <t>最適セールスミックス</t>
    <rPh sb="0" eb="2">
      <t>サイテキ</t>
    </rPh>
    <phoneticPr fontId="3"/>
  </si>
  <si>
    <t>資本利益率・残余利益</t>
    <rPh sb="0" eb="2">
      <t>シホン</t>
    </rPh>
    <rPh sb="2" eb="4">
      <t>リエキ</t>
    </rPh>
    <rPh sb="4" eb="5">
      <t>リツ</t>
    </rPh>
    <rPh sb="6" eb="8">
      <t>ザンヨ</t>
    </rPh>
    <rPh sb="8" eb="10">
      <t>リエキ</t>
    </rPh>
    <phoneticPr fontId="3"/>
  </si>
  <si>
    <t>標準原価計算・差異分析</t>
    <rPh sb="0" eb="2">
      <t>ヒョウジュン</t>
    </rPh>
    <rPh sb="2" eb="4">
      <t>ゲンカ</t>
    </rPh>
    <rPh sb="4" eb="6">
      <t>ケイサン</t>
    </rPh>
    <rPh sb="7" eb="9">
      <t>サイ</t>
    </rPh>
    <rPh sb="9" eb="11">
      <t>ブンセキ</t>
    </rPh>
    <phoneticPr fontId="3"/>
  </si>
  <si>
    <t>◎全部⇔直接を比較</t>
    <rPh sb="1" eb="3">
      <t>ゼンブ</t>
    </rPh>
    <rPh sb="4" eb="6">
      <t>チョクセツ</t>
    </rPh>
    <rPh sb="7" eb="9">
      <t>ヒカク</t>
    </rPh>
    <phoneticPr fontId="3"/>
  </si>
  <si>
    <t>◎予算BSの作成</t>
    <rPh sb="1" eb="3">
      <t>ヨサン</t>
    </rPh>
    <rPh sb="6" eb="8">
      <t>サクセイ</t>
    </rPh>
    <phoneticPr fontId="3"/>
  </si>
  <si>
    <t>問題⑬：セグメント別損益計算</t>
    <rPh sb="0" eb="2">
      <t>モンダイ</t>
    </rPh>
    <rPh sb="9" eb="10">
      <t>ベツ</t>
    </rPh>
    <rPh sb="10" eb="12">
      <t>ソンエキ</t>
    </rPh>
    <rPh sb="12" eb="14">
      <t>ケイサン</t>
    </rPh>
    <phoneticPr fontId="3"/>
  </si>
  <si>
    <t>第5章 CASE17 セグメント別損益計算</t>
    <rPh sb="0" eb="1">
      <t>ダイ</t>
    </rPh>
    <rPh sb="2" eb="3">
      <t>ショウ</t>
    </rPh>
    <rPh sb="16" eb="17">
      <t>ベツ</t>
    </rPh>
    <rPh sb="17" eb="19">
      <t>ソンエキ</t>
    </rPh>
    <rPh sb="19" eb="21">
      <t>ケイサン</t>
    </rPh>
    <phoneticPr fontId="3"/>
  </si>
  <si>
    <t>Ⅵ 本社費配賦額</t>
    <rPh sb="2" eb="4">
      <t>ホンシャ</t>
    </rPh>
    <rPh sb="4" eb="5">
      <t>ヒ</t>
    </rPh>
    <rPh sb="5" eb="7">
      <t>ハイフ</t>
    </rPh>
    <rPh sb="7" eb="8">
      <t>ガク</t>
    </rPh>
    <phoneticPr fontId="3"/>
  </si>
  <si>
    <t xml:space="preserve">    事業部営業利益</t>
    <rPh sb="4" eb="6">
      <t>ジギョウ</t>
    </rPh>
    <rPh sb="6" eb="7">
      <t>ブ</t>
    </rPh>
    <rPh sb="7" eb="9">
      <t>エイギョウ</t>
    </rPh>
    <rPh sb="9" eb="11">
      <t>リエキ</t>
    </rPh>
    <phoneticPr fontId="3"/>
  </si>
  <si>
    <t>予算販売価格</t>
    <rPh sb="0" eb="2">
      <t>ヨサン</t>
    </rPh>
    <rPh sb="2" eb="4">
      <t>ハンバイ</t>
    </rPh>
    <rPh sb="4" eb="6">
      <t>カカク</t>
    </rPh>
    <phoneticPr fontId="3"/>
  </si>
  <si>
    <t>標準製造原価</t>
    <rPh sb="0" eb="2">
      <t>ヒョウジュン</t>
    </rPh>
    <rPh sb="2" eb="4">
      <t>セイゾウ</t>
    </rPh>
    <rPh sb="4" eb="6">
      <t>ゲンカ</t>
    </rPh>
    <phoneticPr fontId="3"/>
  </si>
  <si>
    <t xml:space="preserve"> 直接材料費</t>
    <rPh sb="1" eb="3">
      <t>チョクセツ</t>
    </rPh>
    <rPh sb="3" eb="6">
      <t>ザイリョウヒ</t>
    </rPh>
    <phoneticPr fontId="3"/>
  </si>
  <si>
    <t xml:space="preserve"> 直接労務費</t>
    <rPh sb="1" eb="3">
      <t>チョクセツ</t>
    </rPh>
    <rPh sb="3" eb="6">
      <t>ロウムヒ</t>
    </rPh>
    <phoneticPr fontId="3"/>
  </si>
  <si>
    <t xml:space="preserve"> 製造間接費</t>
    <rPh sb="1" eb="3">
      <t>セイゾウ</t>
    </rPh>
    <rPh sb="3" eb="5">
      <t>カンセツ</t>
    </rPh>
    <rPh sb="5" eb="6">
      <t>ヒ</t>
    </rPh>
    <phoneticPr fontId="3"/>
  </si>
  <si>
    <t xml:space="preserve"> 合計</t>
    <rPh sb="1" eb="3">
      <t>ゴウケイ</t>
    </rPh>
    <phoneticPr fontId="3"/>
  </si>
  <si>
    <t>予定販売量</t>
    <rPh sb="0" eb="2">
      <t>ヨテイ</t>
    </rPh>
    <rPh sb="2" eb="4">
      <t>ハンバイ</t>
    </rPh>
    <rPh sb="4" eb="5">
      <t>リョウ</t>
    </rPh>
    <phoneticPr fontId="3"/>
  </si>
  <si>
    <t xml:space="preserve">  変動</t>
    <rPh sb="2" eb="4">
      <t>ヘンドウ</t>
    </rPh>
    <phoneticPr fontId="3"/>
  </si>
  <si>
    <t xml:space="preserve">  固定</t>
    <rPh sb="2" eb="4">
      <t>コテイ</t>
    </rPh>
    <phoneticPr fontId="3"/>
  </si>
  <si>
    <t>管理不能</t>
    <rPh sb="0" eb="2">
      <t>カンリ</t>
    </rPh>
    <rPh sb="2" eb="4">
      <t>フノウ</t>
    </rPh>
    <phoneticPr fontId="3"/>
  </si>
  <si>
    <t>うち変動</t>
    <rPh sb="2" eb="4">
      <t>ヘンドウ</t>
    </rPh>
    <phoneticPr fontId="3"/>
  </si>
  <si>
    <t>参考：変動製造間接費の算出 ※｢Ⅳ｣で問われないので対策不要</t>
    <rPh sb="0" eb="2">
      <t>サンコウ</t>
    </rPh>
    <rPh sb="3" eb="5">
      <t>ヘンドウ</t>
    </rPh>
    <rPh sb="5" eb="7">
      <t>セイゾウ</t>
    </rPh>
    <rPh sb="7" eb="9">
      <t>カンセツ</t>
    </rPh>
    <rPh sb="9" eb="10">
      <t>ヒ</t>
    </rPh>
    <rPh sb="11" eb="13">
      <t>サンシュツ</t>
    </rPh>
    <rPh sb="19" eb="20">
      <t>ト</t>
    </rPh>
    <rPh sb="26" eb="28">
      <t>タイサク</t>
    </rPh>
    <rPh sb="28" eb="30">
      <t>フヨウ</t>
    </rPh>
    <phoneticPr fontId="3"/>
  </si>
  <si>
    <t>ここを2段階に分けることが特徴</t>
    <rPh sb="4" eb="6">
      <t>ダンカイ</t>
    </rPh>
    <rPh sb="7" eb="8">
      <t>ワ</t>
    </rPh>
    <rPh sb="13" eb="15">
      <t>トクチョウ</t>
    </rPh>
    <phoneticPr fontId="3"/>
  </si>
  <si>
    <t>売上高</t>
    <rPh sb="0" eb="2">
      <t>ウリアゲ</t>
    </rPh>
    <rPh sb="2" eb="3">
      <t>ダカ</t>
    </rPh>
    <phoneticPr fontId="3"/>
  </si>
  <si>
    <t>変動売上原価</t>
    <rPh sb="0" eb="2">
      <t>ヘンドウ</t>
    </rPh>
    <rPh sb="2" eb="4">
      <t>ウリアゲ</t>
    </rPh>
    <rPh sb="4" eb="6">
      <t>ゲンカ</t>
    </rPh>
    <phoneticPr fontId="3"/>
  </si>
  <si>
    <t>変動販売費</t>
    <rPh sb="0" eb="2">
      <t>ヘンドウ</t>
    </rPh>
    <rPh sb="2" eb="5">
      <t>ハンバイヒ</t>
    </rPh>
    <phoneticPr fontId="3"/>
  </si>
  <si>
    <t xml:space="preserve">   貢献利益</t>
    <rPh sb="3" eb="5">
      <t>コウケン</t>
    </rPh>
    <rPh sb="5" eb="7">
      <t>リエキ</t>
    </rPh>
    <phoneticPr fontId="3"/>
  </si>
  <si>
    <t>個別固定費</t>
    <rPh sb="0" eb="2">
      <t>コベツ</t>
    </rPh>
    <rPh sb="2" eb="5">
      <t>コテイヒ</t>
    </rPh>
    <phoneticPr fontId="3"/>
  </si>
  <si>
    <t xml:space="preserve">   セグメント・マージン</t>
    <phoneticPr fontId="3"/>
  </si>
  <si>
    <t>共通固定費</t>
    <rPh sb="0" eb="2">
      <t>キョウツウ</t>
    </rPh>
    <rPh sb="2" eb="5">
      <t>コテイヒ</t>
    </rPh>
    <phoneticPr fontId="3"/>
  </si>
  <si>
    <t xml:space="preserve">   営業利益</t>
    <rPh sb="3" eb="5">
      <t>エイギョウ</t>
    </rPh>
    <rPh sb="5" eb="7">
      <t>リエキ</t>
    </rPh>
    <phoneticPr fontId="3"/>
  </si>
  <si>
    <t>製品A</t>
    <rPh sb="0" eb="2">
      <t>セイヒン</t>
    </rPh>
    <phoneticPr fontId="3"/>
  </si>
  <si>
    <t>製品B</t>
    <rPh sb="0" eb="2">
      <t>セイヒン</t>
    </rPh>
    <phoneticPr fontId="3"/>
  </si>
  <si>
    <t>製品C</t>
    <rPh sb="0" eb="2">
      <t>セイヒン</t>
    </rPh>
    <phoneticPr fontId="3"/>
  </si>
  <si>
    <t>製品別損益計算書</t>
    <rPh sb="0" eb="2">
      <t>セイヒン</t>
    </rPh>
    <rPh sb="2" eb="3">
      <t>ベツ</t>
    </rPh>
    <rPh sb="3" eb="5">
      <t>ソンエキ</t>
    </rPh>
    <rPh sb="5" eb="8">
      <t>ケイサンショ</t>
    </rPh>
    <phoneticPr fontId="3"/>
  </si>
  <si>
    <t>売上原価</t>
    <rPh sb="0" eb="2">
      <t>ウリアゲ</t>
    </rPh>
    <rPh sb="2" eb="4">
      <t>ゲンカ</t>
    </rPh>
    <phoneticPr fontId="3"/>
  </si>
  <si>
    <t xml:space="preserve">  売上総利益</t>
    <rPh sb="2" eb="4">
      <t>ウリアゲ</t>
    </rPh>
    <rPh sb="4" eb="7">
      <t>ソウリエキ</t>
    </rPh>
    <phoneticPr fontId="3"/>
  </si>
  <si>
    <t>販管費</t>
    <rPh sb="0" eb="3">
      <t>ハンカンヒ</t>
    </rPh>
    <phoneticPr fontId="3"/>
  </si>
  <si>
    <t>製品別変動製造原価率</t>
    <rPh sb="0" eb="2">
      <t>セイヒン</t>
    </rPh>
    <rPh sb="2" eb="3">
      <t>ベツ</t>
    </rPh>
    <rPh sb="3" eb="5">
      <t>ヘンドウ</t>
    </rPh>
    <rPh sb="5" eb="7">
      <t>セイゾウ</t>
    </rPh>
    <rPh sb="7" eb="9">
      <t>ゲンカ</t>
    </rPh>
    <rPh sb="9" eb="10">
      <t>リツ</t>
    </rPh>
    <phoneticPr fontId="3"/>
  </si>
  <si>
    <t>資料</t>
    <rPh sb="0" eb="2">
      <t>シリョウ</t>
    </rPh>
    <phoneticPr fontId="3"/>
  </si>
  <si>
    <t>固定販管費配賦率</t>
    <rPh sb="0" eb="2">
      <t>コテイ</t>
    </rPh>
    <rPh sb="2" eb="5">
      <t>ハンカンヒ</t>
    </rPh>
    <rPh sb="5" eb="7">
      <t>ハイフ</t>
    </rPh>
    <rPh sb="7" eb="8">
      <t>リツ</t>
    </rPh>
    <phoneticPr fontId="3"/>
  </si>
  <si>
    <t>固定個別製造原価</t>
    <rPh sb="0" eb="2">
      <t>コテイ</t>
    </rPh>
    <rPh sb="2" eb="4">
      <t>コベツ</t>
    </rPh>
    <rPh sb="4" eb="6">
      <t>セイゾウ</t>
    </rPh>
    <rPh sb="6" eb="8">
      <t>ゲンカ</t>
    </rPh>
    <phoneticPr fontId="3"/>
  </si>
  <si>
    <t>うち変動</t>
    <rPh sb="2" eb="4">
      <t>ヘンドウ</t>
    </rPh>
    <phoneticPr fontId="3"/>
  </si>
  <si>
    <t>うち固定(配賦)</t>
    <rPh sb="2" eb="4">
      <t>コテイ</t>
    </rPh>
    <rPh sb="5" eb="7">
      <t>ハイフ</t>
    </rPh>
    <phoneticPr fontId="3"/>
  </si>
  <si>
    <t>うち固定</t>
    <rPh sb="2" eb="4">
      <t>コテイ</t>
    </rPh>
    <phoneticPr fontId="3"/>
  </si>
  <si>
    <t>共通</t>
    <rPh sb="0" eb="2">
      <t>キョウツウ</t>
    </rPh>
    <phoneticPr fontId="3"/>
  </si>
  <si>
    <t>合計</t>
    <rPh sb="0" eb="2">
      <t>ゴウケイ</t>
    </rPh>
    <phoneticPr fontId="3"/>
  </si>
  <si>
    <t>固定費</t>
    <rPh sb="0" eb="3">
      <t>コテイヒ</t>
    </rPh>
    <phoneticPr fontId="3"/>
  </si>
  <si>
    <t>製品別損益計算書(直接原価計算)</t>
    <rPh sb="0" eb="2">
      <t>セイヒン</t>
    </rPh>
    <rPh sb="2" eb="3">
      <t>ベツ</t>
    </rPh>
    <rPh sb="3" eb="5">
      <t>ソンエキ</t>
    </rPh>
    <rPh sb="5" eb="8">
      <t>ケイサンショ</t>
    </rPh>
    <rPh sb="9" eb="11">
      <t>チョクセツ</t>
    </rPh>
    <rPh sb="11" eb="13">
      <t>ゲンカ</t>
    </rPh>
    <rPh sb="13" eb="15">
      <t>ケイサン</t>
    </rPh>
    <phoneticPr fontId="3"/>
  </si>
  <si>
    <t>セグメント別損益計算書</t>
    <rPh sb="5" eb="6">
      <t>ベツ</t>
    </rPh>
    <rPh sb="6" eb="8">
      <t>ソンエキ</t>
    </rPh>
    <rPh sb="8" eb="11">
      <t>ケイサンショ</t>
    </rPh>
    <phoneticPr fontId="3"/>
  </si>
  <si>
    <t>例題：セグメント別損益計算</t>
    <rPh sb="0" eb="2">
      <t>レイダイ</t>
    </rPh>
    <rPh sb="8" eb="9">
      <t>ベツ</t>
    </rPh>
    <rPh sb="9" eb="11">
      <t>ソンエキ</t>
    </rPh>
    <rPh sb="11" eb="13">
      <t>ケイサン</t>
    </rPh>
    <phoneticPr fontId="3"/>
  </si>
  <si>
    <t>第5章 CASE18 資本コスト</t>
    <rPh sb="0" eb="1">
      <t>ダイ</t>
    </rPh>
    <rPh sb="2" eb="3">
      <t>ショウ</t>
    </rPh>
    <rPh sb="11" eb="13">
      <t>シホン</t>
    </rPh>
    <phoneticPr fontId="3"/>
  </si>
  <si>
    <t>例題：資本コスト</t>
    <rPh sb="0" eb="2">
      <t>レイダイ</t>
    </rPh>
    <rPh sb="3" eb="5">
      <t>シホン</t>
    </rPh>
    <phoneticPr fontId="3"/>
  </si>
  <si>
    <t>診断士ならファイナンスで既習の資本コスト。ここはごくあっさりと。</t>
    <rPh sb="0" eb="3">
      <t>シンダンシ</t>
    </rPh>
    <rPh sb="12" eb="14">
      <t>キシュウ</t>
    </rPh>
    <rPh sb="15" eb="17">
      <t>シホン</t>
    </rPh>
    <phoneticPr fontId="3"/>
  </si>
  <si>
    <t>調達源泉</t>
    <rPh sb="0" eb="2">
      <t>チョウタツ</t>
    </rPh>
    <rPh sb="2" eb="4">
      <t>ゲンセン</t>
    </rPh>
    <phoneticPr fontId="3"/>
  </si>
  <si>
    <t>負債</t>
    <rPh sb="0" eb="2">
      <t>フサイ</t>
    </rPh>
    <phoneticPr fontId="3"/>
  </si>
  <si>
    <t>普通株</t>
    <rPh sb="0" eb="2">
      <t>フツウ</t>
    </rPh>
    <rPh sb="2" eb="3">
      <t>カブ</t>
    </rPh>
    <phoneticPr fontId="3"/>
  </si>
  <si>
    <t>留保利益</t>
    <rPh sb="0" eb="2">
      <t>リュウホ</t>
    </rPh>
    <rPh sb="2" eb="4">
      <t>リエキ</t>
    </rPh>
    <phoneticPr fontId="3"/>
  </si>
  <si>
    <t>税引後</t>
    <rPh sb="0" eb="2">
      <t>ゼイビキ</t>
    </rPh>
    <rPh sb="2" eb="3">
      <t>ゴ</t>
    </rPh>
    <phoneticPr fontId="3"/>
  </si>
  <si>
    <t>(例題) 問⑬⑭</t>
    <phoneticPr fontId="3"/>
  </si>
  <si>
    <t>問題⑮：CVP分析と業績測定指標</t>
    <rPh sb="0" eb="2">
      <t>モンダイ</t>
    </rPh>
    <rPh sb="7" eb="9">
      <t>ブンセキ</t>
    </rPh>
    <rPh sb="10" eb="12">
      <t>ギョウセキ</t>
    </rPh>
    <rPh sb="12" eb="14">
      <t>ソクテイ</t>
    </rPh>
    <rPh sb="14" eb="16">
      <t>シヒョウ</t>
    </rPh>
    <phoneticPr fontId="3"/>
  </si>
  <si>
    <t>資料</t>
    <rPh sb="0" eb="2">
      <t>シリョウ</t>
    </rPh>
    <phoneticPr fontId="3"/>
  </si>
  <si>
    <t>売上高</t>
    <rPh sb="0" eb="2">
      <t>ウリアゲ</t>
    </rPh>
    <rPh sb="2" eb="3">
      <t>ダカ</t>
    </rPh>
    <phoneticPr fontId="3"/>
  </si>
  <si>
    <t>変動売上原価</t>
    <rPh sb="0" eb="2">
      <t>ヘンドウ</t>
    </rPh>
    <rPh sb="2" eb="4">
      <t>ウリアゲ</t>
    </rPh>
    <rPh sb="4" eb="6">
      <t>ゲンカ</t>
    </rPh>
    <phoneticPr fontId="3"/>
  </si>
  <si>
    <t xml:space="preserve">  直接材料費</t>
    <rPh sb="2" eb="4">
      <t>チョクセツ</t>
    </rPh>
    <rPh sb="4" eb="7">
      <t>ザイリョウヒ</t>
    </rPh>
    <phoneticPr fontId="3"/>
  </si>
  <si>
    <t xml:space="preserve">  直接労務費</t>
    <rPh sb="2" eb="4">
      <t>チョクセツ</t>
    </rPh>
    <rPh sb="4" eb="7">
      <t>ロウムヒ</t>
    </rPh>
    <phoneticPr fontId="3"/>
  </si>
  <si>
    <t xml:space="preserve">  変動製造間接費</t>
    <rPh sb="2" eb="4">
      <t>ヘンドウ</t>
    </rPh>
    <rPh sb="4" eb="6">
      <t>セイゾウ</t>
    </rPh>
    <rPh sb="6" eb="8">
      <t>カンセツ</t>
    </rPh>
    <rPh sb="8" eb="9">
      <t>ヒ</t>
    </rPh>
    <phoneticPr fontId="3"/>
  </si>
  <si>
    <t xml:space="preserve">    変動製造マージン</t>
    <rPh sb="4" eb="6">
      <t>ヘンドウ</t>
    </rPh>
    <rPh sb="6" eb="8">
      <t>セイゾウ</t>
    </rPh>
    <phoneticPr fontId="3"/>
  </si>
  <si>
    <t>変動販売費</t>
    <rPh sb="0" eb="2">
      <t>ヘンドウ</t>
    </rPh>
    <rPh sb="2" eb="4">
      <t>ハンバイ</t>
    </rPh>
    <rPh sb="4" eb="5">
      <t>ヒ</t>
    </rPh>
    <phoneticPr fontId="3"/>
  </si>
  <si>
    <t xml:space="preserve">    貢献利益</t>
    <rPh sb="4" eb="6">
      <t>コウケン</t>
    </rPh>
    <rPh sb="6" eb="8">
      <t>リエキ</t>
    </rPh>
    <phoneticPr fontId="3"/>
  </si>
  <si>
    <t>固定費</t>
    <rPh sb="0" eb="3">
      <t>コテイヒ</t>
    </rPh>
    <phoneticPr fontId="3"/>
  </si>
  <si>
    <t xml:space="preserve">  製造</t>
    <rPh sb="2" eb="4">
      <t>セイゾウ</t>
    </rPh>
    <phoneticPr fontId="3"/>
  </si>
  <si>
    <t xml:space="preserve">  販売</t>
    <rPh sb="2" eb="4">
      <t>ハンバイ</t>
    </rPh>
    <phoneticPr fontId="3"/>
  </si>
  <si>
    <t xml:space="preserve">    営業利益</t>
    <rPh sb="4" eb="6">
      <t>エイギョウ</t>
    </rPh>
    <rPh sb="6" eb="8">
      <t>リエキ</t>
    </rPh>
    <phoneticPr fontId="3"/>
  </si>
  <si>
    <t xml:space="preserve">    法人税</t>
    <rPh sb="4" eb="7">
      <t>ホウジンゼイ</t>
    </rPh>
    <phoneticPr fontId="3"/>
  </si>
  <si>
    <t xml:space="preserve">    税引後営業利益</t>
    <rPh sb="4" eb="6">
      <t>ゼイビキ</t>
    </rPh>
    <rPh sb="6" eb="7">
      <t>ゴ</t>
    </rPh>
    <rPh sb="7" eb="9">
      <t>エイギョウ</t>
    </rPh>
    <rPh sb="9" eb="11">
      <t>リエキ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</si>
  <si>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</si>
  <si>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</si>
  <si>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代替案1</t>
    <rPh sb="0" eb="2">
      <t>ダイタイ</t>
    </rPh>
    <rPh sb="2" eb="3">
      <t>アン</t>
    </rPh>
    <phoneticPr fontId="3"/>
  </si>
  <si>
    <t>現状通り</t>
    <rPh sb="0" eb="2">
      <t>ゲンジョウ</t>
    </rPh>
    <rPh sb="2" eb="3">
      <t>トオ</t>
    </rPh>
    <phoneticPr fontId="3"/>
  </si>
  <si>
    <t>代替案2</t>
    <rPh sb="0" eb="3">
      <t>ダイタイアン</t>
    </rPh>
    <phoneticPr fontId="3"/>
  </si>
  <si>
    <t>固定販売費と販売数を増やす</t>
    <rPh sb="0" eb="2">
      <t>コテイ</t>
    </rPh>
    <rPh sb="2" eb="5">
      <t>ハンバイヒ</t>
    </rPh>
    <rPh sb="6" eb="8">
      <t>ハンバイ</t>
    </rPh>
    <rPh sb="8" eb="9">
      <t>スウ</t>
    </rPh>
    <rPh sb="10" eb="11">
      <t>フ</t>
    </rPh>
    <phoneticPr fontId="3"/>
  </si>
  <si>
    <t>代替案3</t>
    <rPh sb="0" eb="3">
      <t>ダイタイアン</t>
    </rPh>
    <phoneticPr fontId="3"/>
  </si>
  <si>
    <t>自己資本</t>
    <rPh sb="0" eb="2">
      <t>ジコ</t>
    </rPh>
    <rPh sb="2" eb="4">
      <t>シホン</t>
    </rPh>
    <phoneticPr fontId="3"/>
  </si>
  <si>
    <t>損益分岐点販売台数</t>
    <rPh sb="0" eb="2">
      <t>ソンエキ</t>
    </rPh>
    <rPh sb="2" eb="5">
      <t>ブンキテン</t>
    </rPh>
    <rPh sb="5" eb="7">
      <t>ハンバイ</t>
    </rPh>
    <rPh sb="7" eb="9">
      <t>ダイスウ</t>
    </rPh>
    <phoneticPr fontId="3"/>
  </si>
  <si>
    <t>千円</t>
    <rPh sb="0" eb="2">
      <t>センエン</t>
    </rPh>
    <phoneticPr fontId="3"/>
  </si>
  <si>
    <t>個</t>
    <rPh sb="0" eb="1">
      <t>コ</t>
    </rPh>
    <phoneticPr fontId="3"/>
  </si>
  <si>
    <t>安全余裕率</t>
    <rPh sb="0" eb="2">
      <t>アンゼン</t>
    </rPh>
    <rPh sb="2" eb="4">
      <t>ヨユウ</t>
    </rPh>
    <rPh sb="4" eb="5">
      <t>リツ</t>
    </rPh>
    <phoneticPr fontId="3"/>
  </si>
  <si>
    <t>投下資本利益率</t>
    <rPh sb="0" eb="2">
      <t>トウカ</t>
    </rPh>
    <rPh sb="2" eb="4">
      <t>シホン</t>
    </rPh>
    <rPh sb="4" eb="6">
      <t>リエキ</t>
    </rPh>
    <rPh sb="6" eb="7">
      <t>リツ</t>
    </rPh>
    <phoneticPr fontId="3"/>
  </si>
  <si>
    <t>投下資本</t>
    <rPh sb="0" eb="2">
      <t>トウカ</t>
    </rPh>
    <rPh sb="2" eb="4">
      <t>シホン</t>
    </rPh>
    <phoneticPr fontId="3"/>
  </si>
  <si>
    <t>問3</t>
    <rPh sb="0" eb="1">
      <t>ト</t>
    </rPh>
    <phoneticPr fontId="3"/>
  </si>
  <si>
    <t>目標投下資本利益率を達成する販売台数</t>
    <rPh sb="0" eb="2">
      <t>モクヒョウ</t>
    </rPh>
    <rPh sb="2" eb="4">
      <t>トウカ</t>
    </rPh>
    <rPh sb="4" eb="6">
      <t>シホン</t>
    </rPh>
    <rPh sb="6" eb="8">
      <t>リエキ</t>
    </rPh>
    <rPh sb="8" eb="9">
      <t>リツ</t>
    </rPh>
    <rPh sb="10" eb="12">
      <t>タッセイ</t>
    </rPh>
    <rPh sb="14" eb="16">
      <t>ハンバイ</t>
    </rPh>
    <rPh sb="16" eb="18">
      <t>ダイスウ</t>
    </rPh>
    <phoneticPr fontId="3"/>
  </si>
  <si>
    <t>売上高をSと置き</t>
    <rPh sb="0" eb="2">
      <t>ウリアゲ</t>
    </rPh>
    <rPh sb="2" eb="3">
      <t>ダカ</t>
    </rPh>
    <rPh sb="6" eb="7">
      <t>オ</t>
    </rPh>
    <phoneticPr fontId="3"/>
  </si>
  <si>
    <t>(1/3S-196,000)</t>
    <phoneticPr fontId="3"/>
  </si>
  <si>
    <t>0.2S+600,000</t>
    <phoneticPr fontId="3"/>
  </si>
  <si>
    <t>=0.066</t>
    <phoneticPr fontId="3"/>
  </si>
  <si>
    <t>の方程式を解く。</t>
    <rPh sb="1" eb="4">
      <t>ホウテイシキ</t>
    </rPh>
    <rPh sb="5" eb="6">
      <t>ト</t>
    </rPh>
    <phoneticPr fontId="3"/>
  </si>
  <si>
    <t>※ここは電卓パチパチしたので計算過程を省略</t>
    <rPh sb="4" eb="6">
      <t>デンタク</t>
    </rPh>
    <rPh sb="14" eb="16">
      <t>ケイサン</t>
    </rPh>
    <rPh sb="16" eb="18">
      <t>カテイ</t>
    </rPh>
    <rPh sb="19" eb="21">
      <t>ショウリャク</t>
    </rPh>
    <phoneticPr fontId="3"/>
  </si>
  <si>
    <t>問4</t>
    <rPh sb="0" eb="1">
      <t>ト</t>
    </rPh>
    <phoneticPr fontId="3"/>
  </si>
  <si>
    <t>残余利益</t>
    <rPh sb="0" eb="2">
      <t>ザンヨ</t>
    </rPh>
    <rPh sb="2" eb="4">
      <t>リエキ</t>
    </rPh>
    <phoneticPr fontId="3"/>
  </si>
  <si>
    <t>新製品D</t>
    <rPh sb="0" eb="3">
      <t>シンセイヒン</t>
    </rPh>
    <phoneticPr fontId="3"/>
  </si>
  <si>
    <t>Case19, 20 例題</t>
    <rPh sb="11" eb="13">
      <t>レイダイ</t>
    </rPh>
    <phoneticPr fontId="3"/>
  </si>
  <si>
    <t>ここまでCase19→</t>
    <phoneticPr fontId="3"/>
  </si>
  <si>
    <t>→ここからCase20</t>
    <phoneticPr fontId="3"/>
  </si>
  <si>
    <t>製品B＋D</t>
    <rPh sb="0" eb="2">
      <t>セイヒン</t>
    </rPh>
    <phoneticPr fontId="3"/>
  </si>
  <si>
    <t>←(1)率が下がるので採用しない</t>
    <rPh sb="4" eb="5">
      <t>リツ</t>
    </rPh>
    <rPh sb="6" eb="7">
      <t>サ</t>
    </rPh>
    <rPh sb="11" eb="13">
      <t>サイヨウ</t>
    </rPh>
    <phoneticPr fontId="3"/>
  </si>
  <si>
    <t>←(2)額が増えるので採用する</t>
    <rPh sb="4" eb="5">
      <t>ガク</t>
    </rPh>
    <rPh sb="6" eb="7">
      <t>フ</t>
    </rPh>
    <rPh sb="11" eb="13">
      <t>サイヨウ</t>
    </rPh>
    <phoneticPr fontId="3"/>
  </si>
  <si>
    <t>↑(3)資本利益率＞WACCである他、残余利益も＋なので採用する。</t>
    <rPh sb="4" eb="6">
      <t>シホン</t>
    </rPh>
    <rPh sb="6" eb="8">
      <t>リエキ</t>
    </rPh>
    <rPh sb="8" eb="9">
      <t>リツ</t>
    </rPh>
    <rPh sb="17" eb="18">
      <t>ホカ</t>
    </rPh>
    <rPh sb="19" eb="21">
      <t>ザンヨ</t>
    </rPh>
    <rPh sb="21" eb="23">
      <t>リエキ</t>
    </rPh>
    <rPh sb="28" eb="30">
      <t>サイヨウ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</si>
</sst>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;;;"/>
    <numFmt numFmtId="177" formatCode="&quot;@&quot;#"/>
    <numFmt numFmtId="178" formatCode="#,##0&quot;円/時&quot;"/>
    <numFmt numFmtId="179" formatCode="#,##0&quot;円/kg&quot;"/>
    <numFmt numFmtId="180" formatCode="&quot;×&quot;#&quot;時/個&quot;"/>
    <numFmt numFmtId="181" formatCode="&quot;×&quot;#&quot;kg/個&quot;"/>
    <numFmt numFmtId="182" formatCode="&quot;=&quot;#"/>
    <numFmt numFmtId="183" formatCode="&quot;×&quot;#&quot;kg&quot;"/>
    <numFmt numFmtId="184" formatCode="&quot;×&quot;#&quot;時&quot;"/>
    <numFmt numFmtId="185" formatCode="&quot;=&quot;#,###"/>
    <numFmt numFmtId="186" formatCode="0.0%"/>
    <numFmt numFmtId="187" formatCode="#,##0.0000;[Red]\-#,##0.0000"/>
    <numFmt numFmtId="188" formatCode="#,##0&quot;組&quot;"/>
    <numFmt numFmtId="189" formatCode="#,##0&quot;円&quot;"/>
    <numFmt numFmtId="190" formatCode="#&quot;個&quot;"/>
    <numFmt numFmtId="191" formatCode="#,##0.0;[Red]\-#,##0.0"/>
    <numFmt numFmtId="192" formatCode="&quot;+&quot;#"/>
  </numFmts>
  <fonts count="18"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rgb="FF3F3F3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3F3F3F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theme="0" tint="-0.49998474074526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vertAlign val="superscript"/>
      <sz val="10"/>
      <name val="游ゴシック"/>
      <family val="3"/>
      <charset val="128"/>
      <scheme val="minor"/>
    </font>
    <font>
      <i/>
      <sz val="10"/>
      <color theme="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 style="hair">
        <color theme="8"/>
      </right>
      <top style="thin">
        <color theme="8"/>
      </top>
      <bottom/>
      <diagonal/>
    </border>
    <border>
      <left style="hair">
        <color theme="8"/>
      </left>
      <right style="hair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hair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ck">
        <color indexed="64"/>
      </left>
      <right style="thin">
        <color indexed="64"/>
      </right>
      <top/>
      <bottom/>
      <diagonal style="thin">
        <color auto="1"/>
      </diagonal>
    </border>
    <border>
      <left style="thick">
        <color indexed="64"/>
      </left>
      <right style="thin">
        <color indexed="64"/>
      </right>
      <top/>
      <bottom/>
      <diagonal/>
    </border>
    <border diagonalDown="1">
      <left/>
      <right/>
      <top/>
      <bottom/>
      <diagonal style="thin">
        <color auto="1"/>
      </diagonal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6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38" fontId="2" fillId="2" borderId="2" xfId="2" applyNumberFormat="1" applyFont="1" applyBorder="1">
      <alignment vertical="center"/>
    </xf>
    <xf numFmtId="38" fontId="4" fillId="2" borderId="3" xfId="2" applyNumberFormat="1" applyFont="1" applyBorder="1">
      <alignment vertical="center"/>
    </xf>
    <xf numFmtId="38" fontId="4" fillId="2" borderId="4" xfId="2" applyNumberFormat="1" applyFont="1" applyBorder="1">
      <alignment vertical="center"/>
    </xf>
    <xf numFmtId="38" fontId="5" fillId="0" borderId="0" xfId="3" applyFont="1">
      <alignment vertical="center"/>
    </xf>
    <xf numFmtId="38" fontId="4" fillId="2" borderId="5" xfId="2" applyNumberFormat="1" applyFont="1" applyBorder="1">
      <alignment vertical="center"/>
    </xf>
    <xf numFmtId="38" fontId="4" fillId="2" borderId="0" xfId="2" applyNumberFormat="1" applyFont="1" applyBorder="1">
      <alignment vertical="center"/>
    </xf>
    <xf numFmtId="38" fontId="4" fillId="2" borderId="6" xfId="2" applyNumberFormat="1" applyFont="1" applyBorder="1">
      <alignment vertical="center"/>
    </xf>
    <xf numFmtId="38" fontId="4" fillId="2" borderId="7" xfId="2" applyNumberFormat="1" applyFont="1" applyBorder="1">
      <alignment vertical="center"/>
    </xf>
    <xf numFmtId="38" fontId="4" fillId="2" borderId="8" xfId="2" applyNumberFormat="1" applyFont="1" applyBorder="1">
      <alignment vertical="center"/>
    </xf>
    <xf numFmtId="38" fontId="4" fillId="2" borderId="9" xfId="2" applyNumberFormat="1" applyFont="1" applyBorder="1">
      <alignment vertical="center"/>
    </xf>
    <xf numFmtId="38" fontId="4" fillId="0" borderId="0" xfId="2" applyNumberFormat="1" applyFont="1" applyFill="1" applyBorder="1">
      <alignment vertical="center"/>
    </xf>
    <xf numFmtId="38" fontId="5" fillId="0" borderId="0" xfId="3" applyFont="1" applyFill="1">
      <alignment vertical="center"/>
    </xf>
    <xf numFmtId="38" fontId="2" fillId="2" borderId="10" xfId="1" applyNumberFormat="1" applyBorder="1">
      <alignment vertical="center"/>
    </xf>
    <xf numFmtId="38" fontId="2" fillId="2" borderId="11" xfId="1" applyNumberFormat="1" applyBorder="1">
      <alignment vertical="center"/>
    </xf>
    <xf numFmtId="38" fontId="2" fillId="2" borderId="12" xfId="1" applyNumberFormat="1" applyBorder="1">
      <alignment vertical="center"/>
    </xf>
    <xf numFmtId="38" fontId="2" fillId="2" borderId="13" xfId="1" applyNumberFormat="1" applyBorder="1">
      <alignment vertical="center"/>
    </xf>
    <xf numFmtId="38" fontId="2" fillId="2" borderId="0" xfId="1" applyNumberFormat="1" applyBorder="1">
      <alignment vertical="center"/>
    </xf>
    <xf numFmtId="38" fontId="2" fillId="2" borderId="14" xfId="1" applyNumberFormat="1" applyBorder="1">
      <alignment vertical="center"/>
    </xf>
    <xf numFmtId="38" fontId="2" fillId="2" borderId="15" xfId="1" applyNumberFormat="1" applyBorder="1">
      <alignment vertical="center"/>
    </xf>
    <xf numFmtId="38" fontId="2" fillId="2" borderId="16" xfId="1" applyNumberFormat="1" applyBorder="1">
      <alignment vertical="center"/>
    </xf>
    <xf numFmtId="38" fontId="2" fillId="2" borderId="17" xfId="1" applyNumberFormat="1" applyBorder="1">
      <alignment vertical="center"/>
    </xf>
    <xf numFmtId="38" fontId="5" fillId="0" borderId="17" xfId="3" applyFont="1" applyBorder="1">
      <alignment vertical="center"/>
    </xf>
    <xf numFmtId="38" fontId="5" fillId="0" borderId="18" xfId="3" applyFont="1" applyBorder="1">
      <alignment vertical="center"/>
    </xf>
    <xf numFmtId="38" fontId="5" fillId="0" borderId="19" xfId="3" applyFont="1" applyBorder="1">
      <alignment vertical="center"/>
    </xf>
    <xf numFmtId="38" fontId="5" fillId="0" borderId="15" xfId="3" applyFont="1" applyBorder="1">
      <alignment vertical="center"/>
    </xf>
    <xf numFmtId="38" fontId="5" fillId="0" borderId="10" xfId="3" applyFont="1" applyBorder="1">
      <alignment vertical="center"/>
    </xf>
    <xf numFmtId="38" fontId="5" fillId="0" borderId="0" xfId="3" applyFont="1" applyBorder="1">
      <alignment vertical="center"/>
    </xf>
    <xf numFmtId="38" fontId="5" fillId="3" borderId="0" xfId="3" applyFont="1" applyFill="1">
      <alignment vertical="center"/>
    </xf>
    <xf numFmtId="38" fontId="0" fillId="0" borderId="0" xfId="4" applyFont="1">
      <alignment vertical="center"/>
    </xf>
    <xf numFmtId="0" fontId="6" fillId="4" borderId="22" xfId="0" applyFont="1" applyFill="1" applyBorder="1">
      <alignment vertical="center"/>
    </xf>
    <xf numFmtId="0" fontId="6" fillId="4" borderId="23" xfId="0" applyFont="1" applyFill="1" applyBorder="1">
      <alignment vertical="center"/>
    </xf>
    <xf numFmtId="0" fontId="0" fillId="5" borderId="24" xfId="0" applyFont="1" applyFill="1" applyBorder="1">
      <alignment vertical="center"/>
    </xf>
    <xf numFmtId="0" fontId="0" fillId="5" borderId="25" xfId="0" applyFont="1" applyFill="1" applyBorder="1">
      <alignment vertical="center"/>
    </xf>
    <xf numFmtId="176" fontId="0" fillId="5" borderId="25" xfId="0" applyNumberFormat="1" applyFont="1" applyFill="1" applyBorder="1">
      <alignment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left" vertical="center"/>
    </xf>
    <xf numFmtId="0" fontId="0" fillId="5" borderId="25" xfId="0" applyFont="1" applyFill="1" applyBorder="1" applyAlignment="1">
      <alignment vertical="center"/>
    </xf>
    <xf numFmtId="0" fontId="0" fillId="6" borderId="24" xfId="0" applyFont="1" applyFill="1" applyBorder="1">
      <alignment vertical="center"/>
    </xf>
    <xf numFmtId="0" fontId="0" fillId="6" borderId="25" xfId="0" applyFont="1" applyFill="1" applyBorder="1">
      <alignment vertical="center"/>
    </xf>
    <xf numFmtId="0" fontId="0" fillId="6" borderId="25" xfId="0" applyFont="1" applyFill="1" applyBorder="1" applyAlignment="1">
      <alignment horizontal="center" vertical="center"/>
    </xf>
    <xf numFmtId="38" fontId="5" fillId="3" borderId="21" xfId="3" applyFont="1" applyFill="1" applyBorder="1">
      <alignment vertical="center"/>
    </xf>
    <xf numFmtId="38" fontId="5" fillId="0" borderId="20" xfId="3" applyFont="1" applyBorder="1">
      <alignment vertical="center"/>
    </xf>
    <xf numFmtId="38" fontId="7" fillId="0" borderId="0" xfId="3" applyFont="1">
      <alignment vertical="center"/>
    </xf>
    <xf numFmtId="0" fontId="6" fillId="4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ont="1" applyFill="1" applyBorder="1">
      <alignment vertical="center"/>
    </xf>
    <xf numFmtId="0" fontId="0" fillId="6" borderId="25" xfId="0" applyFont="1" applyFill="1" applyBorder="1" applyAlignment="1">
      <alignment horizontal="center" vertical="center" textRotation="255" wrapText="1"/>
    </xf>
    <xf numFmtId="0" fontId="0" fillId="0" borderId="25" xfId="0" applyFont="1" applyFill="1" applyBorder="1" applyAlignment="1">
      <alignment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38" fontId="5" fillId="0" borderId="16" xfId="3" applyFont="1" applyBorder="1">
      <alignment vertical="center"/>
    </xf>
    <xf numFmtId="38" fontId="5" fillId="0" borderId="0" xfId="3" quotePrefix="1" applyFont="1">
      <alignment vertical="center"/>
    </xf>
    <xf numFmtId="38" fontId="5" fillId="0" borderId="29" xfId="3" applyFont="1" applyBorder="1">
      <alignment vertical="center"/>
    </xf>
    <xf numFmtId="38" fontId="5" fillId="0" borderId="13" xfId="3" applyFont="1" applyBorder="1">
      <alignment vertical="center"/>
    </xf>
    <xf numFmtId="38" fontId="5" fillId="0" borderId="30" xfId="3" applyFont="1" applyBorder="1">
      <alignment vertical="center"/>
    </xf>
    <xf numFmtId="38" fontId="7" fillId="0" borderId="30" xfId="3" applyFont="1" applyBorder="1">
      <alignment vertical="center"/>
    </xf>
    <xf numFmtId="38" fontId="5" fillId="0" borderId="21" xfId="3" applyFont="1" applyBorder="1">
      <alignment vertical="center"/>
    </xf>
    <xf numFmtId="38" fontId="5" fillId="0" borderId="0" xfId="3" applyFont="1" applyAlignment="1">
      <alignment horizontal="right" vertical="center"/>
    </xf>
    <xf numFmtId="38" fontId="5" fillId="0" borderId="0" xfId="3" applyFont="1" applyAlignment="1">
      <alignment horizontal="left" vertical="center"/>
    </xf>
    <xf numFmtId="38" fontId="5" fillId="3" borderId="0" xfId="3" applyFont="1" applyFill="1" applyAlignment="1">
      <alignment horizontal="left" vertical="center"/>
    </xf>
    <xf numFmtId="38" fontId="5" fillId="7" borderId="16" xfId="3" applyFont="1" applyFill="1" applyBorder="1">
      <alignment vertical="center"/>
    </xf>
    <xf numFmtId="38" fontId="5" fillId="8" borderId="0" xfId="3" applyFont="1" applyFill="1" applyAlignment="1">
      <alignment horizontal="right" vertical="center"/>
    </xf>
    <xf numFmtId="38" fontId="5" fillId="9" borderId="0" xfId="3" applyFont="1" applyFill="1">
      <alignment vertical="center"/>
    </xf>
    <xf numFmtId="177" fontId="5" fillId="9" borderId="0" xfId="3" applyNumberFormat="1" applyFont="1" applyFill="1">
      <alignment vertical="center"/>
    </xf>
    <xf numFmtId="38" fontId="5" fillId="9" borderId="19" xfId="3" applyFont="1" applyFill="1" applyBorder="1">
      <alignment vertical="center"/>
    </xf>
    <xf numFmtId="38" fontId="5" fillId="9" borderId="10" xfId="3" applyFont="1" applyFill="1" applyBorder="1">
      <alignment vertical="center"/>
    </xf>
    <xf numFmtId="38" fontId="5" fillId="9" borderId="0" xfId="3" applyFont="1" applyFill="1" applyAlignment="1">
      <alignment horizontal="right" vertical="center"/>
    </xf>
    <xf numFmtId="38" fontId="5" fillId="9" borderId="18" xfId="3" applyFont="1" applyFill="1" applyBorder="1">
      <alignment vertical="center"/>
    </xf>
    <xf numFmtId="38" fontId="9" fillId="9" borderId="29" xfId="3" applyFont="1" applyFill="1" applyBorder="1">
      <alignment vertical="center"/>
    </xf>
    <xf numFmtId="38" fontId="5" fillId="9" borderId="13" xfId="3" applyFont="1" applyFill="1" applyBorder="1">
      <alignment vertical="center"/>
    </xf>
    <xf numFmtId="38" fontId="5" fillId="9" borderId="29" xfId="3" applyFont="1" applyFill="1" applyBorder="1">
      <alignment vertical="center"/>
    </xf>
    <xf numFmtId="38" fontId="9" fillId="9" borderId="0" xfId="3" applyFont="1" applyFill="1">
      <alignment vertical="center"/>
    </xf>
    <xf numFmtId="38" fontId="5" fillId="9" borderId="15" xfId="3" applyFont="1" applyFill="1" applyBorder="1">
      <alignment vertical="center"/>
    </xf>
    <xf numFmtId="38" fontId="5" fillId="9" borderId="17" xfId="3" applyFont="1" applyFill="1" applyBorder="1">
      <alignment vertical="center"/>
    </xf>
    <xf numFmtId="38" fontId="5" fillId="9" borderId="0" xfId="3" applyFont="1" applyFill="1" applyBorder="1">
      <alignment vertical="center"/>
    </xf>
    <xf numFmtId="38" fontId="7" fillId="9" borderId="30" xfId="3" applyFont="1" applyFill="1" applyBorder="1">
      <alignment vertical="center"/>
    </xf>
    <xf numFmtId="38" fontId="5" fillId="9" borderId="30" xfId="3" applyFont="1" applyFill="1" applyBorder="1">
      <alignment vertical="center"/>
    </xf>
    <xf numFmtId="38" fontId="5" fillId="10" borderId="0" xfId="3" applyFont="1" applyFill="1">
      <alignment vertical="center"/>
    </xf>
    <xf numFmtId="38" fontId="5" fillId="11" borderId="0" xfId="3" applyFont="1" applyFill="1">
      <alignment vertical="center"/>
    </xf>
    <xf numFmtId="38" fontId="5" fillId="11" borderId="16" xfId="3" applyFont="1" applyFill="1" applyBorder="1">
      <alignment vertical="center"/>
    </xf>
    <xf numFmtId="38" fontId="0" fillId="0" borderId="0" xfId="4" applyFont="1" applyAlignment="1">
      <alignment horizontal="right" vertical="center"/>
    </xf>
    <xf numFmtId="38" fontId="5" fillId="3" borderId="31" xfId="3" applyFont="1" applyFill="1" applyBorder="1">
      <alignment vertical="center"/>
    </xf>
    <xf numFmtId="38" fontId="10" fillId="2" borderId="15" xfId="1" applyNumberFormat="1" applyFont="1" applyBorder="1">
      <alignment vertical="center"/>
    </xf>
    <xf numFmtId="38" fontId="5" fillId="0" borderId="32" xfId="3" applyFont="1" applyBorder="1">
      <alignment vertical="center"/>
    </xf>
    <xf numFmtId="38" fontId="5" fillId="0" borderId="33" xfId="3" applyFont="1" applyBorder="1">
      <alignment vertical="center"/>
    </xf>
    <xf numFmtId="38" fontId="5" fillId="12" borderId="20" xfId="3" applyFont="1" applyFill="1" applyBorder="1">
      <alignment vertical="center"/>
    </xf>
    <xf numFmtId="38" fontId="5" fillId="12" borderId="18" xfId="3" applyFont="1" applyFill="1" applyBorder="1">
      <alignment vertical="center"/>
    </xf>
    <xf numFmtId="38" fontId="5" fillId="0" borderId="11" xfId="3" applyFont="1" applyBorder="1">
      <alignment vertical="center"/>
    </xf>
    <xf numFmtId="38" fontId="5" fillId="0" borderId="12" xfId="3" applyFont="1" applyBorder="1">
      <alignment vertical="center"/>
    </xf>
    <xf numFmtId="179" fontId="5" fillId="0" borderId="0" xfId="3" applyNumberFormat="1" applyFont="1" applyBorder="1">
      <alignment vertical="center"/>
    </xf>
    <xf numFmtId="181" fontId="5" fillId="0" borderId="0" xfId="3" applyNumberFormat="1" applyFont="1" applyBorder="1">
      <alignment vertical="center"/>
    </xf>
    <xf numFmtId="182" fontId="5" fillId="0" borderId="0" xfId="3" applyNumberFormat="1" applyFont="1" applyBorder="1">
      <alignment vertical="center"/>
    </xf>
    <xf numFmtId="38" fontId="5" fillId="0" borderId="14" xfId="3" applyFont="1" applyBorder="1">
      <alignment vertical="center"/>
    </xf>
    <xf numFmtId="178" fontId="5" fillId="0" borderId="0" xfId="3" applyNumberFormat="1" applyFont="1" applyBorder="1">
      <alignment vertical="center"/>
    </xf>
    <xf numFmtId="180" fontId="5" fillId="0" borderId="0" xfId="3" applyNumberFormat="1" applyFont="1" applyBorder="1">
      <alignment vertical="center"/>
    </xf>
    <xf numFmtId="183" fontId="5" fillId="0" borderId="0" xfId="3" applyNumberFormat="1" applyFont="1" applyBorder="1">
      <alignment vertical="center"/>
    </xf>
    <xf numFmtId="185" fontId="5" fillId="0" borderId="0" xfId="3" applyNumberFormat="1" applyFont="1" applyBorder="1">
      <alignment vertical="center"/>
    </xf>
    <xf numFmtId="184" fontId="5" fillId="0" borderId="0" xfId="3" applyNumberFormat="1" applyFont="1" applyBorder="1">
      <alignment vertical="center"/>
    </xf>
    <xf numFmtId="38" fontId="5" fillId="0" borderId="0" xfId="4" applyFont="1" applyBorder="1">
      <alignment vertical="center"/>
    </xf>
    <xf numFmtId="178" fontId="5" fillId="0" borderId="16" xfId="3" applyNumberFormat="1" applyFont="1" applyBorder="1">
      <alignment vertical="center"/>
    </xf>
    <xf numFmtId="184" fontId="5" fillId="0" borderId="16" xfId="3" applyNumberFormat="1" applyFont="1" applyBorder="1">
      <alignment vertical="center"/>
    </xf>
    <xf numFmtId="38" fontId="5" fillId="0" borderId="16" xfId="4" applyFont="1" applyBorder="1">
      <alignment vertical="center"/>
    </xf>
    <xf numFmtId="38" fontId="12" fillId="0" borderId="0" xfId="3" applyFont="1">
      <alignment vertical="center"/>
    </xf>
    <xf numFmtId="38" fontId="13" fillId="2" borderId="10" xfId="1" applyNumberFormat="1" applyFont="1" applyBorder="1">
      <alignment vertical="center"/>
    </xf>
    <xf numFmtId="38" fontId="13" fillId="2" borderId="11" xfId="1" applyNumberFormat="1" applyFont="1" applyBorder="1">
      <alignment vertical="center"/>
    </xf>
    <xf numFmtId="38" fontId="13" fillId="2" borderId="13" xfId="1" applyNumberFormat="1" applyFont="1" applyBorder="1">
      <alignment vertical="center"/>
    </xf>
    <xf numFmtId="38" fontId="13" fillId="2" borderId="0" xfId="1" applyNumberFormat="1" applyFont="1" applyBorder="1">
      <alignment vertical="center"/>
    </xf>
    <xf numFmtId="38" fontId="13" fillId="2" borderId="15" xfId="1" applyNumberFormat="1" applyFont="1" applyBorder="1">
      <alignment vertical="center"/>
    </xf>
    <xf numFmtId="38" fontId="13" fillId="2" borderId="16" xfId="1" applyNumberFormat="1" applyFont="1" applyBorder="1">
      <alignment vertical="center"/>
    </xf>
    <xf numFmtId="38" fontId="13" fillId="2" borderId="12" xfId="1" applyNumberFormat="1" applyFont="1" applyBorder="1">
      <alignment vertical="center"/>
    </xf>
    <xf numFmtId="38" fontId="14" fillId="0" borderId="0" xfId="3" applyFont="1">
      <alignment vertical="center"/>
    </xf>
    <xf numFmtId="38" fontId="13" fillId="2" borderId="14" xfId="1" applyNumberFormat="1" applyFont="1" applyBorder="1">
      <alignment vertical="center"/>
    </xf>
    <xf numFmtId="38" fontId="13" fillId="2" borderId="17" xfId="1" applyNumberFormat="1" applyFont="1" applyBorder="1">
      <alignment vertical="center"/>
    </xf>
    <xf numFmtId="38" fontId="5" fillId="0" borderId="40" xfId="3" applyFont="1" applyBorder="1">
      <alignment vertical="center"/>
    </xf>
    <xf numFmtId="38" fontId="5" fillId="0" borderId="0" xfId="3" applyFont="1" applyBorder="1" applyAlignment="1">
      <alignment horizontal="right" vertical="center"/>
    </xf>
    <xf numFmtId="38" fontId="5" fillId="0" borderId="0" xfId="3" applyFont="1" applyFill="1" applyBorder="1">
      <alignment vertical="center"/>
    </xf>
    <xf numFmtId="38" fontId="5" fillId="13" borderId="0" xfId="3" applyFont="1" applyFill="1">
      <alignment vertical="center"/>
    </xf>
    <xf numFmtId="38" fontId="0" fillId="13" borderId="0" xfId="4" applyFont="1" applyFill="1">
      <alignment vertical="center"/>
    </xf>
    <xf numFmtId="38" fontId="5" fillId="13" borderId="0" xfId="3" applyFont="1" applyFill="1" applyAlignment="1">
      <alignment horizontal="right" vertical="center"/>
    </xf>
    <xf numFmtId="38" fontId="5" fillId="13" borderId="13" xfId="3" applyFont="1" applyFill="1" applyBorder="1">
      <alignment vertical="center"/>
    </xf>
    <xf numFmtId="38" fontId="5" fillId="13" borderId="0" xfId="3" applyFont="1" applyFill="1" applyBorder="1" applyAlignment="1">
      <alignment horizontal="right" vertical="center"/>
    </xf>
    <xf numFmtId="38" fontId="9" fillId="13" borderId="0" xfId="3" applyFont="1" applyFill="1" applyBorder="1">
      <alignment vertical="center"/>
    </xf>
    <xf numFmtId="38" fontId="5" fillId="13" borderId="37" xfId="3" applyFont="1" applyFill="1" applyBorder="1">
      <alignment vertical="center"/>
    </xf>
    <xf numFmtId="38" fontId="5" fillId="13" borderId="13" xfId="3" applyFont="1" applyFill="1" applyBorder="1" applyAlignment="1">
      <alignment horizontal="right" vertical="center"/>
    </xf>
    <xf numFmtId="38" fontId="5" fillId="13" borderId="34" xfId="3" applyFont="1" applyFill="1" applyBorder="1">
      <alignment vertical="center"/>
    </xf>
    <xf numFmtId="38" fontId="5" fillId="13" borderId="38" xfId="3" applyFont="1" applyFill="1" applyBorder="1" applyAlignment="1">
      <alignment horizontal="left" vertical="center"/>
    </xf>
    <xf numFmtId="38" fontId="5" fillId="13" borderId="0" xfId="3" applyFont="1" applyFill="1" applyBorder="1">
      <alignment vertical="center"/>
    </xf>
    <xf numFmtId="38" fontId="5" fillId="13" borderId="38" xfId="3" applyFont="1" applyFill="1" applyBorder="1">
      <alignment vertical="center"/>
    </xf>
    <xf numFmtId="177" fontId="0" fillId="13" borderId="0" xfId="4" applyNumberFormat="1" applyFont="1" applyFill="1">
      <alignment vertical="center"/>
    </xf>
    <xf numFmtId="38" fontId="5" fillId="13" borderId="42" xfId="3" applyFont="1" applyFill="1" applyBorder="1">
      <alignment vertical="center"/>
    </xf>
    <xf numFmtId="38" fontId="5" fillId="13" borderId="16" xfId="3" applyFont="1" applyFill="1" applyBorder="1" applyAlignment="1">
      <alignment horizontal="right" vertical="center"/>
    </xf>
    <xf numFmtId="38" fontId="5" fillId="13" borderId="36" xfId="3" applyFont="1" applyFill="1" applyBorder="1" applyAlignment="1">
      <alignment horizontal="right" vertical="center"/>
    </xf>
    <xf numFmtId="177" fontId="5" fillId="13" borderId="43" xfId="3" applyNumberFormat="1" applyFont="1" applyFill="1" applyBorder="1" applyAlignment="1">
      <alignment horizontal="left" vertical="center"/>
    </xf>
    <xf numFmtId="38" fontId="5" fillId="13" borderId="41" xfId="3" applyFont="1" applyFill="1" applyBorder="1" applyAlignment="1">
      <alignment horizontal="right" vertical="center"/>
    </xf>
    <xf numFmtId="38" fontId="5" fillId="13" borderId="39" xfId="3" applyFont="1" applyFill="1" applyBorder="1" applyAlignment="1">
      <alignment horizontal="right" vertical="center"/>
    </xf>
    <xf numFmtId="38" fontId="5" fillId="13" borderId="38" xfId="3" applyFont="1" applyFill="1" applyBorder="1" applyAlignment="1">
      <alignment horizontal="right" vertical="center"/>
    </xf>
    <xf numFmtId="38" fontId="0" fillId="13" borderId="13" xfId="4" applyFont="1" applyFill="1" applyBorder="1" applyAlignment="1">
      <alignment horizontal="right" vertical="center"/>
    </xf>
    <xf numFmtId="38" fontId="9" fillId="13" borderId="0" xfId="4" applyFont="1" applyFill="1" applyBorder="1">
      <alignment vertical="center"/>
    </xf>
    <xf numFmtId="38" fontId="0" fillId="13" borderId="39" xfId="4" applyFont="1" applyFill="1" applyBorder="1">
      <alignment vertical="center"/>
    </xf>
    <xf numFmtId="38" fontId="0" fillId="13" borderId="38" xfId="4" applyFont="1" applyFill="1" applyBorder="1">
      <alignment vertical="center"/>
    </xf>
    <xf numFmtId="38" fontId="0" fillId="13" borderId="13" xfId="4" applyFont="1" applyFill="1" applyBorder="1">
      <alignment vertical="center"/>
    </xf>
    <xf numFmtId="38" fontId="0" fillId="13" borderId="15" xfId="4" applyFont="1" applyFill="1" applyBorder="1">
      <alignment vertical="center"/>
    </xf>
    <xf numFmtId="38" fontId="0" fillId="13" borderId="16" xfId="4" applyFont="1" applyFill="1" applyBorder="1" applyAlignment="1">
      <alignment horizontal="right" vertical="center"/>
    </xf>
    <xf numFmtId="38" fontId="9" fillId="13" borderId="16" xfId="4" applyFont="1" applyFill="1" applyBorder="1">
      <alignment vertical="center"/>
    </xf>
    <xf numFmtId="38" fontId="0" fillId="13" borderId="44" xfId="4" applyFont="1" applyFill="1" applyBorder="1">
      <alignment vertical="center"/>
    </xf>
    <xf numFmtId="38" fontId="0" fillId="13" borderId="0" xfId="4" applyFont="1" applyFill="1" applyAlignment="1">
      <alignment horizontal="right" vertical="center"/>
    </xf>
    <xf numFmtId="38" fontId="9" fillId="13" borderId="0" xfId="4" applyFont="1" applyFill="1">
      <alignment vertical="center"/>
    </xf>
    <xf numFmtId="38" fontId="5" fillId="13" borderId="16" xfId="3" applyFont="1" applyFill="1" applyBorder="1">
      <alignment vertical="center"/>
    </xf>
    <xf numFmtId="177" fontId="5" fillId="13" borderId="0" xfId="3" applyNumberFormat="1" applyFont="1" applyFill="1">
      <alignment vertical="center"/>
    </xf>
    <xf numFmtId="38" fontId="5" fillId="13" borderId="35" xfId="3" applyFont="1" applyFill="1" applyBorder="1">
      <alignment vertical="center"/>
    </xf>
    <xf numFmtId="38" fontId="5" fillId="13" borderId="36" xfId="3" applyFont="1" applyFill="1" applyBorder="1">
      <alignment vertical="center"/>
    </xf>
    <xf numFmtId="177" fontId="5" fillId="13" borderId="0" xfId="3" applyNumberFormat="1" applyFont="1" applyFill="1" applyAlignment="1">
      <alignment horizontal="left" vertical="center"/>
    </xf>
    <xf numFmtId="38" fontId="5" fillId="0" borderId="45" xfId="3" applyFont="1" applyBorder="1">
      <alignment vertical="center"/>
    </xf>
    <xf numFmtId="38" fontId="5" fillId="0" borderId="46" xfId="3" applyFont="1" applyBorder="1">
      <alignment vertical="center"/>
    </xf>
    <xf numFmtId="38" fontId="5" fillId="0" borderId="47" xfId="3" applyFont="1" applyBorder="1">
      <alignment vertical="center"/>
    </xf>
    <xf numFmtId="38" fontId="5" fillId="0" borderId="48" xfId="3" applyFont="1" applyBorder="1">
      <alignment vertical="center"/>
    </xf>
    <xf numFmtId="38" fontId="5" fillId="0" borderId="49" xfId="3" applyFont="1" applyBorder="1">
      <alignment vertical="center"/>
    </xf>
    <xf numFmtId="38" fontId="5" fillId="0" borderId="50" xfId="3" applyFont="1" applyBorder="1">
      <alignment vertical="center"/>
    </xf>
    <xf numFmtId="38" fontId="5" fillId="0" borderId="50" xfId="3" applyFont="1" applyBorder="1" applyAlignment="1">
      <alignment horizontal="right" vertical="center"/>
    </xf>
    <xf numFmtId="38" fontId="5" fillId="0" borderId="51" xfId="3" applyFont="1" applyBorder="1">
      <alignment vertical="center"/>
    </xf>
    <xf numFmtId="9" fontId="5" fillId="0" borderId="0" xfId="5" applyFont="1">
      <alignment vertical="center"/>
    </xf>
    <xf numFmtId="38" fontId="9" fillId="0" borderId="0" xfId="3" applyFont="1">
      <alignment vertical="center"/>
    </xf>
    <xf numFmtId="9" fontId="9" fillId="0" borderId="0" xfId="5" applyFont="1">
      <alignment vertical="center"/>
    </xf>
    <xf numFmtId="38" fontId="9" fillId="3" borderId="0" xfId="3" applyFont="1" applyFill="1">
      <alignment vertical="center"/>
    </xf>
    <xf numFmtId="38" fontId="5" fillId="12" borderId="0" xfId="3" applyFont="1" applyFill="1">
      <alignment vertical="center"/>
    </xf>
    <xf numFmtId="38" fontId="14" fillId="12" borderId="0" xfId="3" applyFont="1" applyFill="1" applyAlignment="1">
      <alignment horizontal="right" vertical="center"/>
    </xf>
    <xf numFmtId="38" fontId="14" fillId="12" borderId="0" xfId="3" applyFont="1" applyFill="1">
      <alignment vertical="center"/>
    </xf>
    <xf numFmtId="38" fontId="14" fillId="13" borderId="0" xfId="3" applyFont="1" applyFill="1" applyAlignment="1">
      <alignment horizontal="right" vertical="center"/>
    </xf>
    <xf numFmtId="38" fontId="14" fillId="13" borderId="0" xfId="3" quotePrefix="1" applyFont="1" applyFill="1">
      <alignment vertical="center"/>
    </xf>
    <xf numFmtId="38" fontId="14" fillId="13" borderId="0" xfId="3" applyFont="1" applyFill="1">
      <alignment vertical="center"/>
    </xf>
    <xf numFmtId="38" fontId="5" fillId="0" borderId="0" xfId="3" applyFont="1" applyFill="1" applyAlignment="1">
      <alignment horizontal="right" vertical="center"/>
    </xf>
    <xf numFmtId="38" fontId="9" fillId="0" borderId="0" xfId="4" applyFont="1">
      <alignment vertical="center"/>
    </xf>
    <xf numFmtId="9" fontId="5" fillId="12" borderId="0" xfId="5" applyFont="1" applyFill="1">
      <alignment vertical="center"/>
    </xf>
    <xf numFmtId="38" fontId="0" fillId="0" borderId="16" xfId="4" applyFont="1" applyBorder="1">
      <alignment vertical="center"/>
    </xf>
    <xf numFmtId="9" fontId="0" fillId="12" borderId="0" xfId="5" applyFont="1" applyFill="1">
      <alignment vertical="center"/>
    </xf>
    <xf numFmtId="186" fontId="5" fillId="3" borderId="0" xfId="5" applyNumberFormat="1" applyFont="1" applyFill="1">
      <alignment vertical="center"/>
    </xf>
    <xf numFmtId="9" fontId="5" fillId="3" borderId="0" xfId="5" applyFont="1" applyFill="1">
      <alignment vertical="center"/>
    </xf>
    <xf numFmtId="38" fontId="0" fillId="0" borderId="21" xfId="4" applyFont="1" applyBorder="1">
      <alignment vertical="center"/>
    </xf>
    <xf numFmtId="187" fontId="5" fillId="0" borderId="0" xfId="3" applyNumberFormat="1" applyFont="1">
      <alignment vertical="center"/>
    </xf>
    <xf numFmtId="38" fontId="0" fillId="13" borderId="16" xfId="4" applyFont="1" applyFill="1" applyBorder="1">
      <alignment vertical="center"/>
    </xf>
    <xf numFmtId="9" fontId="0" fillId="13" borderId="0" xfId="5" applyFont="1" applyFill="1">
      <alignment vertical="center"/>
    </xf>
    <xf numFmtId="38" fontId="5" fillId="3" borderId="0" xfId="3" applyFont="1" applyFill="1" applyBorder="1">
      <alignment vertical="center"/>
    </xf>
    <xf numFmtId="10" fontId="5" fillId="0" borderId="0" xfId="5" applyNumberFormat="1" applyFont="1">
      <alignment vertical="center"/>
    </xf>
    <xf numFmtId="38" fontId="5" fillId="0" borderId="0" xfId="4" applyFont="1">
      <alignment vertical="center"/>
    </xf>
    <xf numFmtId="188" fontId="5" fillId="0" borderId="0" xfId="4" applyNumberFormat="1" applyFont="1">
      <alignment vertical="center"/>
    </xf>
    <xf numFmtId="40" fontId="5" fillId="12" borderId="0" xfId="4" applyNumberFormat="1" applyFont="1" applyFill="1">
      <alignment vertical="center"/>
    </xf>
    <xf numFmtId="10" fontId="5" fillId="12" borderId="0" xfId="5" applyNumberFormat="1" applyFont="1" applyFill="1">
      <alignment vertical="center"/>
    </xf>
    <xf numFmtId="189" fontId="5" fillId="0" borderId="0" xfId="4" applyNumberFormat="1" applyFont="1">
      <alignment vertical="center"/>
    </xf>
    <xf numFmtId="38" fontId="5" fillId="3" borderId="0" xfId="4" applyFont="1" applyFill="1">
      <alignment vertical="center"/>
    </xf>
    <xf numFmtId="38" fontId="5" fillId="13" borderId="21" xfId="3" applyFont="1" applyFill="1" applyBorder="1">
      <alignment vertical="center"/>
    </xf>
    <xf numFmtId="38" fontId="5" fillId="7" borderId="0" xfId="3" applyFont="1" applyFill="1">
      <alignment vertical="center"/>
    </xf>
    <xf numFmtId="190" fontId="5" fillId="3" borderId="0" xfId="3" applyNumberFormat="1" applyFont="1" applyFill="1">
      <alignment vertical="center"/>
    </xf>
    <xf numFmtId="38" fontId="0" fillId="3" borderId="0" xfId="4" applyFont="1" applyFill="1">
      <alignment vertical="center"/>
    </xf>
    <xf numFmtId="38" fontId="5" fillId="0" borderId="0" xfId="3" applyFont="1" applyAlignment="1">
      <alignment horizontal="center" vertical="center"/>
    </xf>
    <xf numFmtId="191" fontId="5" fillId="0" borderId="0" xfId="3" applyNumberFormat="1" applyFont="1">
      <alignment vertical="center"/>
    </xf>
    <xf numFmtId="38" fontId="9" fillId="3" borderId="0" xfId="4" applyFont="1" applyFill="1">
      <alignment vertical="center"/>
    </xf>
    <xf numFmtId="38" fontId="5" fillId="0" borderId="52" xfId="3" applyFont="1" applyBorder="1">
      <alignment vertical="center"/>
    </xf>
    <xf numFmtId="38" fontId="5" fillId="11" borderId="18" xfId="3" applyFont="1" applyFill="1" applyBorder="1">
      <alignment vertical="center"/>
    </xf>
    <xf numFmtId="38" fontId="5" fillId="9" borderId="31" xfId="3" applyFont="1" applyFill="1" applyBorder="1">
      <alignment vertical="center"/>
    </xf>
    <xf numFmtId="38" fontId="5" fillId="9" borderId="21" xfId="3" applyFont="1" applyFill="1" applyBorder="1">
      <alignment vertical="center"/>
    </xf>
    <xf numFmtId="38" fontId="5" fillId="12" borderId="16" xfId="3" applyFont="1" applyFill="1" applyBorder="1">
      <alignment vertical="center"/>
    </xf>
    <xf numFmtId="38" fontId="5" fillId="12" borderId="13" xfId="3" applyFont="1" applyFill="1" applyBorder="1">
      <alignment vertical="center"/>
    </xf>
    <xf numFmtId="38" fontId="5" fillId="12" borderId="0" xfId="3" applyFont="1" applyFill="1" applyBorder="1">
      <alignment vertical="center"/>
    </xf>
    <xf numFmtId="38" fontId="5" fillId="12" borderId="14" xfId="3" applyFont="1" applyFill="1" applyBorder="1">
      <alignment vertical="center"/>
    </xf>
    <xf numFmtId="10" fontId="5" fillId="3" borderId="0" xfId="5" applyNumberFormat="1" applyFont="1" applyFill="1">
      <alignment vertical="center"/>
    </xf>
    <xf numFmtId="38" fontId="0" fillId="0" borderId="20" xfId="4" applyFont="1" applyBorder="1">
      <alignment vertical="center"/>
    </xf>
    <xf numFmtId="9" fontId="0" fillId="0" borderId="0" xfId="5" applyFont="1">
      <alignment vertical="center"/>
    </xf>
    <xf numFmtId="38" fontId="17" fillId="13" borderId="0" xfId="4" applyFont="1" applyFill="1">
      <alignment vertical="center"/>
    </xf>
    <xf numFmtId="38" fontId="17" fillId="13" borderId="21" xfId="4" applyFont="1" applyFill="1" applyBorder="1">
      <alignment vertical="center"/>
    </xf>
    <xf numFmtId="38" fontId="0" fillId="0" borderId="16" xfId="4" applyFont="1" applyFill="1" applyBorder="1">
      <alignment vertical="center"/>
    </xf>
    <xf numFmtId="186" fontId="0" fillId="3" borderId="0" xfId="5" applyNumberFormat="1" applyFont="1" applyFill="1">
      <alignment vertical="center"/>
    </xf>
    <xf numFmtId="10" fontId="0" fillId="3" borderId="0" xfId="5" applyNumberFormat="1" applyFont="1" applyFill="1">
      <alignment vertical="center"/>
    </xf>
    <xf numFmtId="0" fontId="0" fillId="6" borderId="25" xfId="0" applyFont="1" applyFill="1" applyBorder="1" applyAlignment="1">
      <alignment horizontal="center" vertical="top" textRotation="255" shrinkToFit="1"/>
    </xf>
    <xf numFmtId="0" fontId="0" fillId="13" borderId="24" xfId="0" applyFont="1" applyFill="1" applyBorder="1">
      <alignment vertical="center"/>
    </xf>
    <xf numFmtId="0" fontId="0" fillId="13" borderId="25" xfId="0" applyFont="1" applyFill="1" applyBorder="1">
      <alignment vertical="center"/>
    </xf>
    <xf numFmtId="176" fontId="0" fillId="13" borderId="25" xfId="0" applyNumberFormat="1" applyFont="1" applyFill="1" applyBorder="1">
      <alignment vertical="center"/>
    </xf>
    <xf numFmtId="0" fontId="0" fillId="13" borderId="25" xfId="0" applyFont="1" applyFill="1" applyBorder="1" applyAlignment="1">
      <alignment vertical="center"/>
    </xf>
    <xf numFmtId="0" fontId="0" fillId="13" borderId="25" xfId="0" applyFont="1" applyFill="1" applyBorder="1" applyAlignment="1">
      <alignment horizontal="center" vertical="center"/>
    </xf>
    <xf numFmtId="0" fontId="0" fillId="13" borderId="25" xfId="0" applyFont="1" applyFill="1" applyBorder="1" applyAlignment="1">
      <alignment horizontal="left" vertical="center"/>
    </xf>
    <xf numFmtId="38" fontId="7" fillId="12" borderId="0" xfId="3" applyFont="1" applyFill="1">
      <alignment vertical="center"/>
    </xf>
    <xf numFmtId="38" fontId="5" fillId="0" borderId="53" xfId="3" applyFont="1" applyBorder="1">
      <alignment vertical="center"/>
    </xf>
    <xf numFmtId="38" fontId="5" fillId="0" borderId="54" xfId="3" applyFont="1" applyBorder="1">
      <alignment vertical="center"/>
    </xf>
    <xf numFmtId="38" fontId="5" fillId="0" borderId="55" xfId="3" applyFont="1" applyFill="1" applyBorder="1">
      <alignment vertical="center"/>
    </xf>
    <xf numFmtId="38" fontId="5" fillId="0" borderId="56" xfId="3" applyFont="1" applyBorder="1">
      <alignment vertical="center"/>
    </xf>
    <xf numFmtId="38" fontId="5" fillId="0" borderId="57" xfId="3" applyFont="1" applyFill="1" applyBorder="1">
      <alignment vertical="center"/>
    </xf>
    <xf numFmtId="38" fontId="5" fillId="0" borderId="58" xfId="3" applyFont="1" applyBorder="1">
      <alignment vertical="center"/>
    </xf>
    <xf numFmtId="38" fontId="5" fillId="0" borderId="59" xfId="3" applyFont="1" applyFill="1" applyBorder="1">
      <alignment vertical="center"/>
    </xf>
    <xf numFmtId="38" fontId="5" fillId="6" borderId="0" xfId="3" applyFont="1" applyFill="1">
      <alignment vertical="center"/>
    </xf>
    <xf numFmtId="38" fontId="5" fillId="6" borderId="16" xfId="3" applyFont="1" applyFill="1" applyBorder="1">
      <alignment vertical="center"/>
    </xf>
    <xf numFmtId="38" fontId="5" fillId="6" borderId="21" xfId="3" applyFont="1" applyFill="1" applyBorder="1">
      <alignment vertical="center"/>
    </xf>
    <xf numFmtId="0" fontId="0" fillId="6" borderId="26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>
      <alignment horizontal="left" vertical="center"/>
    </xf>
    <xf numFmtId="0" fontId="0" fillId="6" borderId="28" xfId="0" applyFont="1" applyFill="1" applyBorder="1" applyAlignment="1">
      <alignment horizontal="left" vertical="center"/>
    </xf>
    <xf numFmtId="38" fontId="5" fillId="0" borderId="0" xfId="3" applyFont="1" applyAlignment="1">
      <alignment horizontal="center" vertical="center"/>
    </xf>
    <xf numFmtId="38" fontId="0" fillId="0" borderId="0" xfId="4" applyFont="1" applyAlignment="1">
      <alignment horizontal="center" vertical="center"/>
    </xf>
    <xf numFmtId="38" fontId="5" fillId="0" borderId="0" xfId="3" applyFont="1" applyAlignment="1">
      <alignment horizontal="center" vertical="center" wrapText="1"/>
    </xf>
    <xf numFmtId="191" fontId="5" fillId="0" borderId="13" xfId="3" applyNumberFormat="1" applyFont="1" applyBorder="1">
      <alignment vertical="center"/>
    </xf>
    <xf numFmtId="191" fontId="5" fillId="0" borderId="15" xfId="3" applyNumberFormat="1" applyFont="1" applyBorder="1">
      <alignment vertical="center"/>
    </xf>
    <xf numFmtId="191" fontId="5" fillId="0" borderId="29" xfId="3" applyNumberFormat="1" applyFont="1" applyBorder="1">
      <alignment vertical="center"/>
    </xf>
    <xf numFmtId="191" fontId="5" fillId="0" borderId="18" xfId="3" applyNumberFormat="1" applyFont="1" applyBorder="1">
      <alignment vertical="center"/>
    </xf>
    <xf numFmtId="191" fontId="5" fillId="0" borderId="19" xfId="3" applyNumberFormat="1" applyFont="1" applyBorder="1">
      <alignment vertical="center"/>
    </xf>
    <xf numFmtId="186" fontId="5" fillId="0" borderId="0" xfId="5" applyNumberFormat="1" applyFont="1">
      <alignment vertical="center"/>
    </xf>
    <xf numFmtId="192" fontId="5" fillId="0" borderId="0" xfId="3" applyNumberFormat="1" applyFont="1">
      <alignment vertical="center"/>
    </xf>
    <xf numFmtId="40" fontId="5" fillId="0" borderId="29" xfId="3" applyNumberFormat="1" applyFont="1" applyBorder="1">
      <alignment vertical="center"/>
    </xf>
    <xf numFmtId="40" fontId="5" fillId="0" borderId="19" xfId="3" applyNumberFormat="1" applyFont="1" applyBorder="1">
      <alignment vertical="center"/>
    </xf>
    <xf numFmtId="38" fontId="5" fillId="0" borderId="16" xfId="3" applyFont="1" applyBorder="1" applyAlignment="1">
      <alignment horizontal="right" vertical="center"/>
    </xf>
    <xf numFmtId="38" fontId="5" fillId="0" borderId="0" xfId="3" quotePrefix="1" applyFont="1" applyAlignment="1">
      <alignment horizontal="left" vertical="center"/>
    </xf>
    <xf numFmtId="38" fontId="5" fillId="0" borderId="0" xfId="3" applyFont="1" applyAlignment="1">
      <alignment horizontal="left" vertical="center"/>
    </xf>
  </cellXfs>
  <cellStyles count="6">
    <cellStyle name="パーセント" xfId="5" builtinId="5"/>
    <cellStyle name="桁区切り" xfId="4" builtinId="6"/>
    <cellStyle name="桁区切り 2" xfId="3" xr:uid="{00000000-0005-0000-0000-000002000000}"/>
    <cellStyle name="出力" xfId="1" builtinId="21"/>
    <cellStyle name="出力 2" xfId="2" xr:uid="{00000000-0005-0000-0000-000004000000}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62</xdr:row>
      <xdr:rowOff>0</xdr:rowOff>
    </xdr:from>
    <xdr:to>
      <xdr:col>4</xdr:col>
      <xdr:colOff>880534</xdr:colOff>
      <xdr:row>75</xdr:row>
      <xdr:rowOff>194733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85F1763-8E3C-4C7D-A38F-D4403B4BE76D}"/>
            </a:ext>
          </a:extLst>
        </xdr:cNvPr>
        <xdr:cNvCxnSpPr/>
      </xdr:nvCxnSpPr>
      <xdr:spPr>
        <a:xfrm>
          <a:off x="1718733" y="10041467"/>
          <a:ext cx="2683934" cy="28363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8466</xdr:colOff>
      <xdr:row>67</xdr:row>
      <xdr:rowOff>16933</xdr:rowOff>
    </xdr:from>
    <xdr:to>
      <xdr:col>5</xdr:col>
      <xdr:colOff>863600</xdr:colOff>
      <xdr:row>75</xdr:row>
      <xdr:rowOff>194733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924B53B-3589-450C-ADAF-D4CF7324778F}"/>
            </a:ext>
          </a:extLst>
        </xdr:cNvPr>
        <xdr:cNvCxnSpPr/>
      </xdr:nvCxnSpPr>
      <xdr:spPr>
        <a:xfrm>
          <a:off x="1735666" y="11074400"/>
          <a:ext cx="3547534" cy="1803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69</xdr:row>
      <xdr:rowOff>194733</xdr:rowOff>
    </xdr:from>
    <xdr:to>
      <xdr:col>4</xdr:col>
      <xdr:colOff>347133</xdr:colOff>
      <xdr:row>70</xdr:row>
      <xdr:rowOff>8466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6B1EA5B-6E41-4251-9D7E-C494A91C506B}"/>
            </a:ext>
          </a:extLst>
        </xdr:cNvPr>
        <xdr:cNvCxnSpPr/>
      </xdr:nvCxnSpPr>
      <xdr:spPr>
        <a:xfrm flipV="1">
          <a:off x="1752600" y="11658600"/>
          <a:ext cx="2116666" cy="169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364067</xdr:colOff>
      <xdr:row>71</xdr:row>
      <xdr:rowOff>42334</xdr:rowOff>
    </xdr:from>
    <xdr:to>
      <xdr:col>2</xdr:col>
      <xdr:colOff>296333</xdr:colOff>
      <xdr:row>72</xdr:row>
      <xdr:rowOff>93134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C49FFC1-816A-43DB-825B-05FE86EC8BF9}"/>
            </a:ext>
          </a:extLst>
        </xdr:cNvPr>
        <xdr:cNvSpPr txBox="1"/>
      </xdr:nvSpPr>
      <xdr:spPr>
        <a:xfrm>
          <a:off x="1193800" y="11912601"/>
          <a:ext cx="829733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ア</a:t>
          </a:r>
          <a:r>
            <a:rPr kumimoji="1" lang="en-US" altLang="ja-JP" sz="1100"/>
            <a:t>(0,300)</a:t>
          </a:r>
          <a:endParaRPr kumimoji="1" lang="ja-JP" altLang="en-US" sz="1100"/>
        </a:p>
      </xdr:txBody>
    </xdr:sp>
    <xdr:clientData/>
  </xdr:twoCellAnchor>
  <xdr:twoCellAnchor>
    <xdr:from>
      <xdr:col>2</xdr:col>
      <xdr:colOff>558799</xdr:colOff>
      <xdr:row>70</xdr:row>
      <xdr:rowOff>177801</xdr:rowOff>
    </xdr:from>
    <xdr:to>
      <xdr:col>3</xdr:col>
      <xdr:colOff>575733</xdr:colOff>
      <xdr:row>72</xdr:row>
      <xdr:rowOff>16933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F7C57AA-4685-4157-820E-1D2D35302125}"/>
            </a:ext>
          </a:extLst>
        </xdr:cNvPr>
        <xdr:cNvSpPr txBox="1"/>
      </xdr:nvSpPr>
      <xdr:spPr>
        <a:xfrm>
          <a:off x="2285999" y="11844868"/>
          <a:ext cx="914401" cy="245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イ</a:t>
          </a:r>
          <a:r>
            <a:rPr kumimoji="1" lang="en-US" altLang="ja-JP" sz="1100"/>
            <a:t>(300,300)</a:t>
          </a:r>
          <a:endParaRPr kumimoji="1" lang="ja-JP" altLang="en-US" sz="1100"/>
        </a:p>
      </xdr:txBody>
    </xdr:sp>
    <xdr:clientData/>
  </xdr:twoCellAnchor>
  <xdr:twoCellAnchor>
    <xdr:from>
      <xdr:col>4</xdr:col>
      <xdr:colOff>143933</xdr:colOff>
      <xdr:row>70</xdr:row>
      <xdr:rowOff>42335</xdr:rowOff>
    </xdr:from>
    <xdr:to>
      <xdr:col>5</xdr:col>
      <xdr:colOff>160867</xdr:colOff>
      <xdr:row>71</xdr:row>
      <xdr:rowOff>93133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47BCB4D-6A59-48E9-956E-49118E964EC6}"/>
            </a:ext>
          </a:extLst>
        </xdr:cNvPr>
        <xdr:cNvSpPr txBox="1"/>
      </xdr:nvSpPr>
      <xdr:spPr>
        <a:xfrm>
          <a:off x="3666066" y="11709402"/>
          <a:ext cx="914401" cy="2539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ウ</a:t>
          </a:r>
          <a:r>
            <a:rPr kumimoji="1" lang="en-US" altLang="ja-JP" sz="1100"/>
            <a:t>(200,500)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101599</xdr:colOff>
      <xdr:row>77</xdr:row>
      <xdr:rowOff>16935</xdr:rowOff>
    </xdr:from>
    <xdr:to>
      <xdr:col>5</xdr:col>
      <xdr:colOff>33865</xdr:colOff>
      <xdr:row>78</xdr:row>
      <xdr:rowOff>67735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91CC325-D36D-42EE-A245-433D129B882F}"/>
            </a:ext>
          </a:extLst>
        </xdr:cNvPr>
        <xdr:cNvSpPr txBox="1"/>
      </xdr:nvSpPr>
      <xdr:spPr>
        <a:xfrm>
          <a:off x="3623732" y="13106402"/>
          <a:ext cx="829733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エ</a:t>
          </a:r>
          <a:r>
            <a:rPr kumimoji="1" lang="en-US" altLang="ja-JP" sz="1100"/>
            <a:t>(0,700)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889001</xdr:colOff>
      <xdr:row>66</xdr:row>
      <xdr:rowOff>8466</xdr:rowOff>
    </xdr:from>
    <xdr:to>
      <xdr:col>4</xdr:col>
      <xdr:colOff>584200</xdr:colOff>
      <xdr:row>81</xdr:row>
      <xdr:rowOff>194734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06AD646-9C3D-4538-8BC1-08A303C67F96}"/>
            </a:ext>
          </a:extLst>
        </xdr:cNvPr>
        <xdr:cNvCxnSpPr/>
      </xdr:nvCxnSpPr>
      <xdr:spPr>
        <a:xfrm>
          <a:off x="1718734" y="6781799"/>
          <a:ext cx="2387599" cy="32342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8467</xdr:colOff>
      <xdr:row>69</xdr:row>
      <xdr:rowOff>203199</xdr:rowOff>
    </xdr:from>
    <xdr:to>
      <xdr:col>5</xdr:col>
      <xdr:colOff>237067</xdr:colOff>
      <xdr:row>82</xdr:row>
      <xdr:rowOff>8467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F00F14-5900-4F78-8CBA-06AF3D86F027}"/>
            </a:ext>
          </a:extLst>
        </xdr:cNvPr>
        <xdr:cNvCxnSpPr/>
      </xdr:nvCxnSpPr>
      <xdr:spPr>
        <a:xfrm>
          <a:off x="1735667" y="7586132"/>
          <a:ext cx="2921000" cy="244686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889001</xdr:colOff>
      <xdr:row>72</xdr:row>
      <xdr:rowOff>194734</xdr:rowOff>
    </xdr:from>
    <xdr:to>
      <xdr:col>4</xdr:col>
      <xdr:colOff>338667</xdr:colOff>
      <xdr:row>73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67DE16C-232E-4022-AFEB-DF799BB4D3F1}"/>
            </a:ext>
          </a:extLst>
        </xdr:cNvPr>
        <xdr:cNvCxnSpPr/>
      </xdr:nvCxnSpPr>
      <xdr:spPr>
        <a:xfrm flipV="1">
          <a:off x="1718734" y="8187267"/>
          <a:ext cx="2142066" cy="84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279400</xdr:colOff>
      <xdr:row>74</xdr:row>
      <xdr:rowOff>76200</xdr:rowOff>
    </xdr:from>
    <xdr:to>
      <xdr:col>2</xdr:col>
      <xdr:colOff>364066</xdr:colOff>
      <xdr:row>75</xdr:row>
      <xdr:rowOff>127000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064F811-7298-4038-9C64-5B89E396EA77}"/>
            </a:ext>
          </a:extLst>
        </xdr:cNvPr>
        <xdr:cNvSpPr txBox="1"/>
      </xdr:nvSpPr>
      <xdr:spPr>
        <a:xfrm>
          <a:off x="1109133" y="8475133"/>
          <a:ext cx="982133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ア</a:t>
          </a:r>
          <a:r>
            <a:rPr kumimoji="1" lang="en-US" altLang="ja-JP" sz="1100"/>
            <a:t>(0,</a:t>
          </a:r>
          <a:r>
            <a:rPr kumimoji="1" lang="ja-JP" altLang="en-US" sz="1100"/>
            <a:t> </a:t>
          </a:r>
          <a:r>
            <a:rPr kumimoji="1" lang="en-US" altLang="ja-JP" sz="1100"/>
            <a:t>4500)</a:t>
          </a:r>
          <a:endParaRPr kumimoji="1" lang="ja-JP" altLang="en-US" sz="1100"/>
        </a:p>
      </xdr:txBody>
    </xdr:sp>
    <xdr:clientData/>
  </xdr:twoCellAnchor>
  <xdr:twoCellAnchor>
    <xdr:from>
      <xdr:col>2</xdr:col>
      <xdr:colOff>711197</xdr:colOff>
      <xdr:row>71</xdr:row>
      <xdr:rowOff>50802</xdr:rowOff>
    </xdr:from>
    <xdr:to>
      <xdr:col>4</xdr:col>
      <xdr:colOff>50799</xdr:colOff>
      <xdr:row>72</xdr:row>
      <xdr:rowOff>118534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16847FC-4B19-4FB1-8BE0-30393AF97559}"/>
            </a:ext>
          </a:extLst>
        </xdr:cNvPr>
        <xdr:cNvSpPr txBox="1"/>
      </xdr:nvSpPr>
      <xdr:spPr>
        <a:xfrm>
          <a:off x="2438397" y="7840135"/>
          <a:ext cx="1134535" cy="2709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イ</a:t>
          </a:r>
          <a:r>
            <a:rPr kumimoji="1" lang="en-US" altLang="ja-JP" sz="1100"/>
            <a:t>(1250,</a:t>
          </a:r>
          <a:r>
            <a:rPr kumimoji="1" lang="ja-JP" altLang="en-US" sz="1100"/>
            <a:t> </a:t>
          </a:r>
          <a:r>
            <a:rPr kumimoji="1" lang="en-US" altLang="ja-JP" sz="1100"/>
            <a:t>4500)</a:t>
          </a:r>
          <a:endParaRPr kumimoji="1" lang="ja-JP" altLang="en-US" sz="1100"/>
        </a:p>
      </xdr:txBody>
    </xdr:sp>
    <xdr:clientData/>
  </xdr:twoCellAnchor>
  <xdr:twoCellAnchor>
    <xdr:from>
      <xdr:col>3</xdr:col>
      <xdr:colOff>761997</xdr:colOff>
      <xdr:row>75</xdr:row>
      <xdr:rowOff>25402</xdr:rowOff>
    </xdr:from>
    <xdr:to>
      <xdr:col>5</xdr:col>
      <xdr:colOff>101599</xdr:colOff>
      <xdr:row>76</xdr:row>
      <xdr:rowOff>93134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6F0501B-24E4-4132-858B-841DBCA38994}"/>
            </a:ext>
          </a:extLst>
        </xdr:cNvPr>
        <xdr:cNvSpPr txBox="1"/>
      </xdr:nvSpPr>
      <xdr:spPr>
        <a:xfrm>
          <a:off x="3386664" y="8627535"/>
          <a:ext cx="1134535" cy="2709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ウ</a:t>
          </a:r>
          <a:r>
            <a:rPr kumimoji="1" lang="en-US" altLang="ja-JP" sz="1100"/>
            <a:t>(2500,</a:t>
          </a:r>
          <a:r>
            <a:rPr kumimoji="1" lang="ja-JP" altLang="en-US" sz="1100"/>
            <a:t> </a:t>
          </a:r>
          <a:r>
            <a:rPr kumimoji="1" lang="en-US" altLang="ja-JP" sz="1100"/>
            <a:t>3000)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101599</xdr:colOff>
      <xdr:row>83</xdr:row>
      <xdr:rowOff>16935</xdr:rowOff>
    </xdr:from>
    <xdr:to>
      <xdr:col>5</xdr:col>
      <xdr:colOff>33865</xdr:colOff>
      <xdr:row>84</xdr:row>
      <xdr:rowOff>67735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4FC51E5-F00E-4EC3-8B98-413741C88362}"/>
            </a:ext>
          </a:extLst>
        </xdr:cNvPr>
        <xdr:cNvSpPr txBox="1"/>
      </xdr:nvSpPr>
      <xdr:spPr>
        <a:xfrm>
          <a:off x="3629659" y="15950355"/>
          <a:ext cx="831426" cy="256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エ</a:t>
          </a:r>
          <a:r>
            <a:rPr kumimoji="1" lang="en-US" altLang="ja-JP" sz="1100"/>
            <a:t>(0,700)</a:t>
          </a:r>
          <a:endParaRPr kumimoji="1" lang="ja-JP" altLang="en-US" sz="1100"/>
        </a:p>
      </xdr:txBody>
    </xdr:sp>
    <xdr:clientData/>
  </xdr:twoCellAnchor>
  <xdr:twoCellAnchor>
    <xdr:from>
      <xdr:col>1</xdr:col>
      <xdr:colOff>889001</xdr:colOff>
      <xdr:row>19</xdr:row>
      <xdr:rowOff>194732</xdr:rowOff>
    </xdr:from>
    <xdr:to>
      <xdr:col>4</xdr:col>
      <xdr:colOff>8467</xdr:colOff>
      <xdr:row>30</xdr:row>
      <xdr:rowOff>33867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C038954-F412-4C41-B83C-51262DC41DC8}"/>
            </a:ext>
          </a:extLst>
        </xdr:cNvPr>
        <xdr:cNvCxnSpPr/>
      </xdr:nvCxnSpPr>
      <xdr:spPr>
        <a:xfrm>
          <a:off x="1718734" y="4097865"/>
          <a:ext cx="1811866" cy="20743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25</xdr:row>
      <xdr:rowOff>0</xdr:rowOff>
    </xdr:from>
    <xdr:to>
      <xdr:col>4</xdr:col>
      <xdr:colOff>855134</xdr:colOff>
      <xdr:row>29</xdr:row>
      <xdr:rowOff>194734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FB9A4D5-469A-4286-B375-50E831C7B28C}"/>
            </a:ext>
          </a:extLst>
        </xdr:cNvPr>
        <xdr:cNvCxnSpPr/>
      </xdr:nvCxnSpPr>
      <xdr:spPr>
        <a:xfrm>
          <a:off x="1769533" y="5122333"/>
          <a:ext cx="2607734" cy="10075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465666</xdr:colOff>
      <xdr:row>25</xdr:row>
      <xdr:rowOff>160867</xdr:rowOff>
    </xdr:from>
    <xdr:to>
      <xdr:col>1</xdr:col>
      <xdr:colOff>618066</xdr:colOff>
      <xdr:row>27</xdr:row>
      <xdr:rowOff>8467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CDE9B10-07C4-40FC-BD19-890C264B02A0}"/>
            </a:ext>
          </a:extLst>
        </xdr:cNvPr>
        <xdr:cNvSpPr txBox="1"/>
      </xdr:nvSpPr>
      <xdr:spPr>
        <a:xfrm>
          <a:off x="465666" y="5283200"/>
          <a:ext cx="982133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ア</a:t>
          </a:r>
          <a:r>
            <a:rPr kumimoji="1" lang="en-US" altLang="ja-JP" sz="1100"/>
            <a:t>(0,</a:t>
          </a:r>
          <a:r>
            <a:rPr kumimoji="1" lang="ja-JP" altLang="en-US" sz="1100"/>
            <a:t> </a:t>
          </a:r>
          <a:r>
            <a:rPr kumimoji="1" lang="en-US" altLang="ja-JP" sz="1100"/>
            <a:t>360)</a:t>
          </a:r>
          <a:endParaRPr kumimoji="1" lang="ja-JP" altLang="en-US" sz="1100"/>
        </a:p>
      </xdr:txBody>
    </xdr:sp>
    <xdr:clientData/>
  </xdr:twoCellAnchor>
  <xdr:twoCellAnchor>
    <xdr:from>
      <xdr:col>2</xdr:col>
      <xdr:colOff>541865</xdr:colOff>
      <xdr:row>24</xdr:row>
      <xdr:rowOff>110068</xdr:rowOff>
    </xdr:from>
    <xdr:to>
      <xdr:col>3</xdr:col>
      <xdr:colOff>643467</xdr:colOff>
      <xdr:row>25</xdr:row>
      <xdr:rowOff>135467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8778AAC-36CF-4906-BD4E-2B91889966BE}"/>
            </a:ext>
          </a:extLst>
        </xdr:cNvPr>
        <xdr:cNvSpPr txBox="1"/>
      </xdr:nvSpPr>
      <xdr:spPr>
        <a:xfrm>
          <a:off x="2269065" y="5029201"/>
          <a:ext cx="999069" cy="228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イ</a:t>
          </a:r>
          <a:r>
            <a:rPr kumimoji="1" lang="en-US" altLang="ja-JP" sz="1100"/>
            <a:t>(80,</a:t>
          </a:r>
          <a:r>
            <a:rPr kumimoji="1" lang="ja-JP" altLang="en-US" sz="1100"/>
            <a:t> </a:t>
          </a:r>
          <a:r>
            <a:rPr kumimoji="1" lang="en-US" altLang="ja-JP" sz="1100"/>
            <a:t>360)</a:t>
          </a:r>
          <a:endParaRPr kumimoji="1" lang="ja-JP" altLang="en-US" sz="1100"/>
        </a:p>
      </xdr:txBody>
    </xdr:sp>
    <xdr:clientData/>
  </xdr:twoCellAnchor>
  <xdr:twoCellAnchor>
    <xdr:from>
      <xdr:col>3</xdr:col>
      <xdr:colOff>626533</xdr:colOff>
      <xdr:row>26</xdr:row>
      <xdr:rowOff>118534</xdr:rowOff>
    </xdr:from>
    <xdr:to>
      <xdr:col>3</xdr:col>
      <xdr:colOff>635000</xdr:colOff>
      <xdr:row>30</xdr:row>
      <xdr:rowOff>33868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C3647951-60DE-4726-BDAF-29B4AA9C07BC}"/>
            </a:ext>
          </a:extLst>
        </xdr:cNvPr>
        <xdr:cNvCxnSpPr/>
      </xdr:nvCxnSpPr>
      <xdr:spPr>
        <a:xfrm flipH="1">
          <a:off x="3251200" y="5444067"/>
          <a:ext cx="8467" cy="7281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8467</xdr:colOff>
      <xdr:row>26</xdr:row>
      <xdr:rowOff>76200</xdr:rowOff>
    </xdr:from>
    <xdr:to>
      <xdr:col>3</xdr:col>
      <xdr:colOff>127000</xdr:colOff>
      <xdr:row>26</xdr:row>
      <xdr:rowOff>84667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9254F70F-FEF1-4B6A-8029-09995F85179F}"/>
            </a:ext>
          </a:extLst>
        </xdr:cNvPr>
        <xdr:cNvCxnSpPr/>
      </xdr:nvCxnSpPr>
      <xdr:spPr>
        <a:xfrm>
          <a:off x="1735667" y="5401733"/>
          <a:ext cx="1016000" cy="84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677331</xdr:colOff>
      <xdr:row>24</xdr:row>
      <xdr:rowOff>127002</xdr:rowOff>
    </xdr:from>
    <xdr:to>
      <xdr:col>4</xdr:col>
      <xdr:colOff>778934</xdr:colOff>
      <xdr:row>25</xdr:row>
      <xdr:rowOff>152401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3051B1D-9330-451B-A9A2-08E866D49A7D}"/>
            </a:ext>
          </a:extLst>
        </xdr:cNvPr>
        <xdr:cNvSpPr txBox="1"/>
      </xdr:nvSpPr>
      <xdr:spPr>
        <a:xfrm>
          <a:off x="3301998" y="5046135"/>
          <a:ext cx="999069" cy="228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ウ</a:t>
          </a:r>
          <a:r>
            <a:rPr kumimoji="1" lang="en-US" altLang="ja-JP" sz="1100"/>
            <a:t>(400,</a:t>
          </a:r>
          <a:r>
            <a:rPr kumimoji="1" lang="ja-JP" altLang="en-US" sz="1100"/>
            <a:t> </a:t>
          </a:r>
          <a:r>
            <a:rPr kumimoji="1" lang="en-US" altLang="ja-JP" sz="1100"/>
            <a:t>200)</a:t>
          </a:r>
          <a:endParaRPr kumimoji="1" lang="ja-JP" altLang="en-US" sz="1100"/>
        </a:p>
      </xdr:txBody>
    </xdr:sp>
    <xdr:clientData/>
  </xdr:twoCellAnchor>
  <xdr:twoCellAnchor>
    <xdr:from>
      <xdr:col>3</xdr:col>
      <xdr:colOff>728127</xdr:colOff>
      <xdr:row>27</xdr:row>
      <xdr:rowOff>118538</xdr:rowOff>
    </xdr:from>
    <xdr:to>
      <xdr:col>4</xdr:col>
      <xdr:colOff>829730</xdr:colOff>
      <xdr:row>28</xdr:row>
      <xdr:rowOff>143937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213624A-86D1-4A2D-8E3D-ECDE12734BBD}"/>
            </a:ext>
          </a:extLst>
        </xdr:cNvPr>
        <xdr:cNvSpPr txBox="1"/>
      </xdr:nvSpPr>
      <xdr:spPr>
        <a:xfrm>
          <a:off x="3352794" y="5647271"/>
          <a:ext cx="999069" cy="228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エ</a:t>
          </a:r>
          <a:r>
            <a:rPr kumimoji="1" lang="en-US" altLang="ja-JP" sz="1100"/>
            <a:t>(440,</a:t>
          </a:r>
          <a:r>
            <a:rPr kumimoji="1" lang="ja-JP" altLang="en-US" sz="1100"/>
            <a:t> </a:t>
          </a:r>
          <a:r>
            <a:rPr kumimoji="1" lang="en-US" altLang="ja-JP" sz="1100"/>
            <a:t>120)</a:t>
          </a:r>
          <a:endParaRPr kumimoji="1" lang="ja-JP" altLang="en-US" sz="1100"/>
        </a:p>
      </xdr:txBody>
    </xdr:sp>
    <xdr:clientData/>
  </xdr:twoCellAnchor>
  <xdr:twoCellAnchor>
    <xdr:from>
      <xdr:col>3</xdr:col>
      <xdr:colOff>660392</xdr:colOff>
      <xdr:row>31</xdr:row>
      <xdr:rowOff>25405</xdr:rowOff>
    </xdr:from>
    <xdr:to>
      <xdr:col>4</xdr:col>
      <xdr:colOff>761995</xdr:colOff>
      <xdr:row>32</xdr:row>
      <xdr:rowOff>50804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38FA43A-CAF1-4FF8-AD10-E9FC5605B8E1}"/>
            </a:ext>
          </a:extLst>
        </xdr:cNvPr>
        <xdr:cNvSpPr txBox="1"/>
      </xdr:nvSpPr>
      <xdr:spPr>
        <a:xfrm>
          <a:off x="3285059" y="6366938"/>
          <a:ext cx="999069" cy="228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オ</a:t>
          </a:r>
          <a:r>
            <a:rPr kumimoji="1" lang="en-US" altLang="ja-JP" sz="1100"/>
            <a:t>(440,</a:t>
          </a:r>
          <a:r>
            <a:rPr kumimoji="1" lang="ja-JP" altLang="en-US" sz="1100"/>
            <a:t> </a:t>
          </a:r>
          <a:r>
            <a:rPr kumimoji="1" lang="en-US" altLang="ja-JP" sz="1100"/>
            <a:t>0)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tabSelected="1" zoomScale="90" zoomScaleNormal="90" workbookViewId="0">
      <selection activeCell="T2" sqref="T2"/>
    </sheetView>
  </sheetViews>
  <sheetFormatPr defaultRowHeight="16.2"/>
  <cols>
    <col min="1" max="1" width="8.44140625" customWidth="1"/>
    <col min="2" max="2" width="1.88671875" customWidth="1"/>
    <col min="3" max="3" width="10.44140625" customWidth="1"/>
    <col min="4" max="4" width="35.77734375" customWidth="1"/>
    <col min="5" max="5" width="12.5546875" customWidth="1"/>
    <col min="6" max="6" width="3.6640625" style="45" customWidth="1"/>
    <col min="7" max="15" width="3.33203125" customWidth="1"/>
    <col min="16" max="16" width="16.88671875" customWidth="1"/>
  </cols>
  <sheetData>
    <row r="1" spans="1:16">
      <c r="A1" s="30" t="s">
        <v>16</v>
      </c>
      <c r="B1" s="31" t="s">
        <v>15</v>
      </c>
      <c r="C1" s="31"/>
      <c r="D1" s="31" t="s">
        <v>14</v>
      </c>
      <c r="E1" s="31"/>
      <c r="F1" s="44"/>
      <c r="G1" s="31" t="s">
        <v>13</v>
      </c>
      <c r="H1" s="31"/>
      <c r="I1" s="31"/>
      <c r="J1" s="31"/>
      <c r="K1" s="31"/>
      <c r="L1" s="31"/>
      <c r="M1" s="31"/>
      <c r="N1" s="31"/>
      <c r="O1" s="31"/>
      <c r="P1" s="31"/>
    </row>
    <row r="2" spans="1:16" ht="154.19999999999999" customHeight="1">
      <c r="A2" s="231" t="s">
        <v>81</v>
      </c>
      <c r="B2" s="232"/>
      <c r="C2" s="233"/>
      <c r="D2" s="39"/>
      <c r="E2" s="40" t="s">
        <v>12</v>
      </c>
      <c r="F2" s="213" t="s">
        <v>995</v>
      </c>
      <c r="G2" s="213" t="s">
        <v>996</v>
      </c>
      <c r="H2" s="213" t="s">
        <v>1008</v>
      </c>
      <c r="I2" s="213" t="s">
        <v>1000</v>
      </c>
      <c r="J2" s="213" t="s">
        <v>997</v>
      </c>
      <c r="K2" s="213" t="s">
        <v>1002</v>
      </c>
      <c r="L2" s="213" t="s">
        <v>998</v>
      </c>
      <c r="M2" s="213" t="s">
        <v>999</v>
      </c>
      <c r="N2" s="213" t="s">
        <v>1006</v>
      </c>
      <c r="O2" s="213" t="s">
        <v>1007</v>
      </c>
      <c r="P2" s="47"/>
    </row>
    <row r="3" spans="1:16">
      <c r="A3" s="32" t="s">
        <v>18</v>
      </c>
      <c r="B3" s="33" t="s">
        <v>10</v>
      </c>
      <c r="C3" s="34">
        <v>2</v>
      </c>
      <c r="D3" s="33" t="s">
        <v>36</v>
      </c>
      <c r="E3" s="48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>
      <c r="A4" s="32" t="s">
        <v>9</v>
      </c>
      <c r="B4" s="33" t="s">
        <v>10</v>
      </c>
      <c r="C4" s="34">
        <v>2</v>
      </c>
      <c r="D4" s="33" t="s">
        <v>37</v>
      </c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16">
      <c r="A5" s="32" t="s">
        <v>8</v>
      </c>
      <c r="B5" s="33" t="s">
        <v>42</v>
      </c>
      <c r="C5" s="34">
        <v>4</v>
      </c>
      <c r="D5" s="33" t="s">
        <v>48</v>
      </c>
      <c r="E5" s="48" t="s">
        <v>49</v>
      </c>
      <c r="F5" s="49"/>
      <c r="G5" s="49" t="s">
        <v>1003</v>
      </c>
      <c r="H5" s="49"/>
      <c r="I5" s="49" t="s">
        <v>1001</v>
      </c>
      <c r="J5" s="49"/>
      <c r="K5" s="49"/>
      <c r="L5" s="49"/>
      <c r="M5" s="49"/>
      <c r="N5" s="49"/>
      <c r="O5" s="49"/>
      <c r="P5" s="50" t="s">
        <v>1009</v>
      </c>
    </row>
    <row r="6" spans="1:16">
      <c r="A6" s="32" t="s">
        <v>7</v>
      </c>
      <c r="B6" s="33" t="s">
        <v>1</v>
      </c>
      <c r="C6" s="34">
        <v>3</v>
      </c>
      <c r="D6" s="33" t="s">
        <v>50</v>
      </c>
      <c r="E6" s="48" t="s">
        <v>376</v>
      </c>
      <c r="F6" s="49"/>
      <c r="G6" s="49" t="s">
        <v>1003</v>
      </c>
      <c r="H6" s="49"/>
      <c r="I6" s="49" t="s">
        <v>1001</v>
      </c>
      <c r="J6" s="49"/>
      <c r="K6" s="49"/>
      <c r="L6" s="49"/>
      <c r="M6" s="49"/>
      <c r="N6" s="49"/>
      <c r="O6" s="49"/>
      <c r="P6" s="50"/>
    </row>
    <row r="7" spans="1:16">
      <c r="A7" s="32" t="s">
        <v>6</v>
      </c>
      <c r="B7" s="33" t="s">
        <v>10</v>
      </c>
      <c r="C7" s="34">
        <v>2</v>
      </c>
      <c r="D7" s="33" t="s">
        <v>51</v>
      </c>
      <c r="E7" s="37" t="s">
        <v>377</v>
      </c>
      <c r="F7" s="35"/>
      <c r="G7" s="35" t="s">
        <v>1003</v>
      </c>
      <c r="H7" s="35"/>
      <c r="I7" s="49" t="s">
        <v>1001</v>
      </c>
      <c r="J7" s="49" t="s">
        <v>1001</v>
      </c>
      <c r="K7" s="49"/>
      <c r="L7" s="35"/>
      <c r="M7" s="35"/>
      <c r="N7" s="35"/>
      <c r="O7" s="35"/>
      <c r="P7" s="36"/>
    </row>
    <row r="8" spans="1:16">
      <c r="A8" s="214" t="s">
        <v>5</v>
      </c>
      <c r="B8" s="215" t="s">
        <v>21</v>
      </c>
      <c r="C8" s="216">
        <v>1</v>
      </c>
      <c r="D8" s="215" t="s">
        <v>52</v>
      </c>
      <c r="E8" s="217" t="s">
        <v>378</v>
      </c>
      <c r="F8" s="218"/>
      <c r="G8" s="218" t="s">
        <v>1003</v>
      </c>
      <c r="H8" s="218" t="s">
        <v>1001</v>
      </c>
      <c r="I8" s="218" t="s">
        <v>1001</v>
      </c>
      <c r="J8" s="218" t="s">
        <v>1001</v>
      </c>
      <c r="K8" s="218"/>
      <c r="L8" s="218"/>
      <c r="M8" s="218"/>
      <c r="N8" s="218"/>
      <c r="O8" s="218"/>
      <c r="P8" s="219"/>
    </row>
    <row r="9" spans="1:16">
      <c r="A9" s="38" t="s">
        <v>82</v>
      </c>
      <c r="B9" s="39"/>
      <c r="C9" s="39"/>
      <c r="D9" s="39"/>
      <c r="E9" s="40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>
      <c r="A10" s="38" t="s">
        <v>47</v>
      </c>
      <c r="B10" s="39"/>
      <c r="C10" s="39"/>
      <c r="D10" s="39"/>
      <c r="E10" s="40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>
      <c r="A11" s="32" t="s">
        <v>4</v>
      </c>
      <c r="B11" s="33" t="s">
        <v>41</v>
      </c>
      <c r="C11" s="34">
        <v>2</v>
      </c>
      <c r="D11" s="33" t="s">
        <v>54</v>
      </c>
      <c r="E11" s="37" t="s">
        <v>55</v>
      </c>
      <c r="F11" s="35"/>
      <c r="G11" s="35"/>
      <c r="H11" s="35"/>
      <c r="I11" s="35"/>
      <c r="J11" s="35"/>
      <c r="K11" s="35" t="s">
        <v>1004</v>
      </c>
      <c r="L11" s="35"/>
      <c r="M11" s="35"/>
      <c r="N11" s="35"/>
      <c r="O11" s="35"/>
      <c r="P11" s="36"/>
    </row>
    <row r="12" spans="1:16">
      <c r="A12" s="32" t="s">
        <v>3</v>
      </c>
      <c r="B12" s="33" t="s">
        <v>42</v>
      </c>
      <c r="C12" s="34">
        <v>4</v>
      </c>
      <c r="D12" s="33" t="s">
        <v>38</v>
      </c>
      <c r="E12" s="37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</row>
    <row r="13" spans="1:16">
      <c r="A13" s="32" t="s">
        <v>2</v>
      </c>
      <c r="B13" s="33" t="s">
        <v>42</v>
      </c>
      <c r="C13" s="34">
        <v>4</v>
      </c>
      <c r="D13" s="33" t="s">
        <v>56</v>
      </c>
      <c r="E13" s="48" t="s">
        <v>57</v>
      </c>
      <c r="F13" s="49" t="s">
        <v>1004</v>
      </c>
      <c r="G13" s="49" t="s">
        <v>1005</v>
      </c>
      <c r="H13" s="49"/>
      <c r="I13" s="49"/>
      <c r="J13" s="49"/>
      <c r="K13" s="49"/>
      <c r="L13" s="49" t="s">
        <v>1004</v>
      </c>
      <c r="M13" s="49"/>
      <c r="N13" s="49"/>
      <c r="O13" s="49"/>
      <c r="P13" s="50"/>
    </row>
    <row r="14" spans="1:16">
      <c r="A14" s="32" t="s">
        <v>17</v>
      </c>
      <c r="B14" s="33" t="s">
        <v>1</v>
      </c>
      <c r="C14" s="34">
        <v>3</v>
      </c>
      <c r="D14" s="33" t="s">
        <v>58</v>
      </c>
      <c r="E14" s="48" t="s">
        <v>59</v>
      </c>
      <c r="F14" s="49" t="s">
        <v>1004</v>
      </c>
      <c r="G14" s="49" t="s">
        <v>1005</v>
      </c>
      <c r="H14" s="49"/>
      <c r="I14" s="49"/>
      <c r="J14" s="49"/>
      <c r="K14" s="49"/>
      <c r="L14" s="49" t="s">
        <v>1004</v>
      </c>
      <c r="M14" s="49"/>
      <c r="N14" s="49"/>
      <c r="O14" s="49"/>
      <c r="P14" s="50"/>
    </row>
    <row r="15" spans="1:16">
      <c r="A15" s="32" t="s">
        <v>22</v>
      </c>
      <c r="B15" s="33" t="s">
        <v>1</v>
      </c>
      <c r="C15" s="34">
        <v>3</v>
      </c>
      <c r="D15" s="33" t="s">
        <v>60</v>
      </c>
      <c r="E15" s="48" t="s">
        <v>53</v>
      </c>
      <c r="F15" s="49" t="s">
        <v>1004</v>
      </c>
      <c r="G15" s="49" t="s">
        <v>1005</v>
      </c>
      <c r="H15" s="49"/>
      <c r="I15" s="49"/>
      <c r="J15" s="49"/>
      <c r="K15" s="49"/>
      <c r="L15" s="49" t="s">
        <v>1004</v>
      </c>
      <c r="M15" s="49" t="s">
        <v>1004</v>
      </c>
      <c r="N15" s="49"/>
      <c r="O15" s="49"/>
      <c r="P15" s="50"/>
    </row>
    <row r="16" spans="1:16">
      <c r="A16" s="32" t="s">
        <v>23</v>
      </c>
      <c r="B16" s="33" t="s">
        <v>41</v>
      </c>
      <c r="C16" s="34">
        <v>2</v>
      </c>
      <c r="D16" s="33" t="s">
        <v>61</v>
      </c>
      <c r="E16" s="48" t="s">
        <v>62</v>
      </c>
      <c r="F16" s="49"/>
      <c r="G16" s="49" t="s">
        <v>1005</v>
      </c>
      <c r="H16" s="49"/>
      <c r="I16" s="49"/>
      <c r="J16" s="49"/>
      <c r="K16" s="49"/>
      <c r="L16" s="49" t="s">
        <v>1004</v>
      </c>
      <c r="M16" s="49" t="s">
        <v>1004</v>
      </c>
      <c r="N16" s="49"/>
      <c r="O16" s="49"/>
      <c r="P16" s="50"/>
    </row>
    <row r="17" spans="1:16">
      <c r="A17" s="38" t="s">
        <v>46</v>
      </c>
      <c r="B17" s="39"/>
      <c r="C17" s="39"/>
      <c r="D17" s="39"/>
      <c r="E17" s="40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>
      <c r="A18" s="32" t="s">
        <v>24</v>
      </c>
      <c r="B18" s="33" t="s">
        <v>19</v>
      </c>
      <c r="C18" s="34">
        <v>3</v>
      </c>
      <c r="D18" s="33" t="s">
        <v>63</v>
      </c>
      <c r="E18" s="48" t="s">
        <v>64</v>
      </c>
      <c r="F18" s="49"/>
      <c r="G18" s="49" t="s">
        <v>1005</v>
      </c>
      <c r="H18" s="49"/>
      <c r="I18" s="49"/>
      <c r="J18" s="49"/>
      <c r="K18" s="49"/>
      <c r="L18" s="49"/>
      <c r="M18" s="49"/>
      <c r="N18" s="49" t="s">
        <v>1004</v>
      </c>
      <c r="O18" s="49"/>
      <c r="P18" s="50"/>
    </row>
    <row r="19" spans="1:16">
      <c r="A19" s="32" t="s">
        <v>25</v>
      </c>
      <c r="B19" s="33" t="s">
        <v>41</v>
      </c>
      <c r="C19" s="34">
        <v>2</v>
      </c>
      <c r="D19" s="33" t="s">
        <v>65</v>
      </c>
      <c r="E19" s="48" t="s">
        <v>66</v>
      </c>
      <c r="F19" s="49"/>
      <c r="G19" s="49" t="s">
        <v>1005</v>
      </c>
      <c r="H19" s="49"/>
      <c r="I19" s="49"/>
      <c r="J19" s="49"/>
      <c r="K19" s="49"/>
      <c r="L19" s="49"/>
      <c r="M19" s="49"/>
      <c r="N19" s="49" t="s">
        <v>1004</v>
      </c>
      <c r="O19" s="49"/>
      <c r="P19" s="50"/>
    </row>
    <row r="20" spans="1:16">
      <c r="A20" s="38" t="s">
        <v>83</v>
      </c>
      <c r="B20" s="39"/>
      <c r="C20" s="39"/>
      <c r="D20" s="39"/>
      <c r="E20" s="40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6">
      <c r="A21" s="38" t="s">
        <v>45</v>
      </c>
      <c r="B21" s="39"/>
      <c r="C21" s="39"/>
      <c r="D21" s="39"/>
      <c r="E21" s="40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>
      <c r="A22" s="32" t="s">
        <v>26</v>
      </c>
      <c r="B22" s="33" t="s">
        <v>10</v>
      </c>
      <c r="C22" s="34">
        <v>2</v>
      </c>
      <c r="D22" s="33" t="s">
        <v>39</v>
      </c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0"/>
    </row>
    <row r="23" spans="1:16">
      <c r="A23" s="214" t="s">
        <v>27</v>
      </c>
      <c r="B23" s="215" t="s">
        <v>0</v>
      </c>
      <c r="C23" s="216">
        <v>2</v>
      </c>
      <c r="D23" s="215" t="s">
        <v>67</v>
      </c>
      <c r="E23" s="217" t="s">
        <v>68</v>
      </c>
      <c r="F23" s="218" t="s">
        <v>1003</v>
      </c>
      <c r="G23" s="218" t="s">
        <v>1005</v>
      </c>
      <c r="H23" s="218"/>
      <c r="I23" s="218"/>
      <c r="J23" s="218"/>
      <c r="K23" s="218"/>
      <c r="L23" s="218"/>
      <c r="M23" s="218"/>
      <c r="N23" s="218"/>
      <c r="O23" s="218"/>
      <c r="P23" s="219" t="s">
        <v>1010</v>
      </c>
    </row>
    <row r="24" spans="1:16">
      <c r="A24" s="38" t="s">
        <v>44</v>
      </c>
      <c r="B24" s="39"/>
      <c r="C24" s="39"/>
      <c r="D24" s="39"/>
      <c r="E24" s="40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>
      <c r="A25" s="32" t="s">
        <v>28</v>
      </c>
      <c r="B25" s="33" t="s">
        <v>20</v>
      </c>
      <c r="C25" s="34">
        <v>3</v>
      </c>
      <c r="D25" s="33" t="s">
        <v>69</v>
      </c>
      <c r="E25" s="37" t="s">
        <v>376</v>
      </c>
      <c r="F25" s="35"/>
      <c r="G25" s="35" t="s">
        <v>1003</v>
      </c>
      <c r="H25" s="35"/>
      <c r="I25" s="35"/>
      <c r="J25" s="35"/>
      <c r="K25" s="35"/>
      <c r="L25" s="35"/>
      <c r="M25" s="35"/>
      <c r="N25" s="35"/>
      <c r="O25" s="35"/>
      <c r="P25" s="36"/>
    </row>
    <row r="26" spans="1:16">
      <c r="A26" s="214" t="s">
        <v>29</v>
      </c>
      <c r="B26" s="215" t="s">
        <v>21</v>
      </c>
      <c r="C26" s="216">
        <v>1</v>
      </c>
      <c r="D26" s="215" t="s">
        <v>70</v>
      </c>
      <c r="E26" s="217" t="s">
        <v>53</v>
      </c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9"/>
    </row>
    <row r="27" spans="1:16">
      <c r="A27" s="32" t="s">
        <v>30</v>
      </c>
      <c r="B27" s="33" t="s">
        <v>1</v>
      </c>
      <c r="C27" s="34">
        <v>3</v>
      </c>
      <c r="D27" s="33" t="s">
        <v>71</v>
      </c>
      <c r="E27" s="48" t="s">
        <v>1064</v>
      </c>
      <c r="F27" s="49" t="s">
        <v>1001</v>
      </c>
      <c r="G27" s="49" t="s">
        <v>1005</v>
      </c>
      <c r="H27" s="49"/>
      <c r="I27" s="49"/>
      <c r="J27" s="49"/>
      <c r="K27" s="49"/>
      <c r="L27" s="49"/>
      <c r="M27" s="49"/>
      <c r="N27" s="49"/>
      <c r="O27" s="49" t="s">
        <v>1001</v>
      </c>
      <c r="P27" s="50"/>
    </row>
    <row r="28" spans="1:16">
      <c r="A28" s="32" t="s">
        <v>31</v>
      </c>
      <c r="B28" s="33" t="s">
        <v>41</v>
      </c>
      <c r="C28" s="34">
        <v>2</v>
      </c>
      <c r="D28" s="33" t="s">
        <v>72</v>
      </c>
      <c r="E28" s="48" t="s">
        <v>73</v>
      </c>
      <c r="F28" s="49" t="s">
        <v>1001</v>
      </c>
      <c r="G28" s="49" t="s">
        <v>1005</v>
      </c>
      <c r="H28" s="49"/>
      <c r="I28" s="49"/>
      <c r="J28" s="49"/>
      <c r="K28" s="49"/>
      <c r="L28" s="49"/>
      <c r="M28" s="49"/>
      <c r="N28" s="49"/>
      <c r="O28" s="49" t="s">
        <v>1001</v>
      </c>
      <c r="P28" s="50"/>
    </row>
    <row r="29" spans="1:16">
      <c r="A29" s="38" t="s">
        <v>43</v>
      </c>
      <c r="B29" s="39"/>
      <c r="C29" s="39"/>
      <c r="D29" s="39"/>
      <c r="E29" s="40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>
      <c r="A30" s="32" t="s">
        <v>32</v>
      </c>
      <c r="B30" s="33" t="s">
        <v>1</v>
      </c>
      <c r="C30" s="34">
        <v>3</v>
      </c>
      <c r="D30" s="33" t="s">
        <v>40</v>
      </c>
      <c r="E30" s="37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/>
    </row>
    <row r="31" spans="1:16">
      <c r="A31" s="32" t="s">
        <v>33</v>
      </c>
      <c r="B31" s="33" t="s">
        <v>10</v>
      </c>
      <c r="C31" s="34">
        <v>2</v>
      </c>
      <c r="D31" s="33" t="s">
        <v>74</v>
      </c>
      <c r="E31" s="48" t="s">
        <v>53</v>
      </c>
      <c r="F31" s="49"/>
      <c r="G31" s="49" t="s">
        <v>1005</v>
      </c>
      <c r="H31" s="49" t="s">
        <v>1001</v>
      </c>
      <c r="I31" s="49"/>
      <c r="J31" s="49"/>
      <c r="K31" s="49"/>
      <c r="L31" s="49"/>
      <c r="M31" s="49"/>
      <c r="N31" s="49"/>
      <c r="O31" s="49"/>
      <c r="P31" s="50"/>
    </row>
    <row r="32" spans="1:16">
      <c r="A32" s="32" t="s">
        <v>34</v>
      </c>
      <c r="B32" s="33" t="s">
        <v>20</v>
      </c>
      <c r="C32" s="34">
        <v>3</v>
      </c>
      <c r="D32" s="33" t="s">
        <v>75</v>
      </c>
      <c r="E32" s="48" t="s">
        <v>76</v>
      </c>
      <c r="F32" s="49" t="s">
        <v>1001</v>
      </c>
      <c r="G32" s="49" t="s">
        <v>1005</v>
      </c>
      <c r="H32" s="49" t="s">
        <v>1001</v>
      </c>
      <c r="I32" s="49"/>
      <c r="J32" s="49"/>
      <c r="K32" s="49"/>
      <c r="L32" s="49"/>
      <c r="M32" s="49"/>
      <c r="N32" s="49"/>
      <c r="O32" s="49"/>
      <c r="P32" s="50"/>
    </row>
    <row r="33" spans="1:16">
      <c r="A33" s="214" t="s">
        <v>35</v>
      </c>
      <c r="B33" s="215" t="s">
        <v>0</v>
      </c>
      <c r="C33" s="216">
        <v>1</v>
      </c>
      <c r="D33" s="215" t="s">
        <v>77</v>
      </c>
      <c r="E33" s="217" t="s">
        <v>53</v>
      </c>
      <c r="F33" s="218"/>
      <c r="G33" s="218" t="s">
        <v>1005</v>
      </c>
      <c r="H33" s="218" t="s">
        <v>1001</v>
      </c>
      <c r="I33" s="218"/>
      <c r="J33" s="218"/>
      <c r="K33" s="218"/>
      <c r="L33" s="218"/>
      <c r="M33" s="218"/>
      <c r="N33" s="218"/>
      <c r="O33" s="218"/>
      <c r="P33" s="219"/>
    </row>
    <row r="34" spans="1:16">
      <c r="A34" s="214" t="s">
        <v>80</v>
      </c>
      <c r="B34" s="215" t="s">
        <v>0</v>
      </c>
      <c r="C34" s="216">
        <v>1</v>
      </c>
      <c r="D34" s="215" t="s">
        <v>78</v>
      </c>
      <c r="E34" s="217" t="s">
        <v>79</v>
      </c>
      <c r="F34" s="218"/>
      <c r="G34" s="218" t="s">
        <v>1005</v>
      </c>
      <c r="H34" s="218" t="s">
        <v>1001</v>
      </c>
      <c r="I34" s="218"/>
      <c r="J34" s="218"/>
      <c r="K34" s="218"/>
      <c r="L34" s="218"/>
      <c r="M34" s="218"/>
      <c r="N34" s="218"/>
      <c r="O34" s="218"/>
      <c r="P34" s="219"/>
    </row>
    <row r="36" spans="1:16">
      <c r="D36" s="46"/>
    </row>
    <row r="37" spans="1:16">
      <c r="D37" s="46"/>
    </row>
  </sheetData>
  <mergeCells count="1">
    <mergeCell ref="A2:C2"/>
  </mergeCells>
  <phoneticPr fontId="3"/>
  <conditionalFormatting sqref="C34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{E408A6EB-5D21-4133-98F4-E84EB4BBADEE}</x14:id>
        </ext>
      </extLst>
    </cfRule>
  </conditionalFormatting>
  <conditionalFormatting sqref="C14:C16 C18:C19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{5F49A7E3-FB6D-4F9A-A748-E37F6E78F838}</x14:id>
        </ext>
      </extLst>
    </cfRule>
  </conditionalFormatting>
  <conditionalFormatting sqref="C11:C13 C3:C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{19E26C8D-3878-4B78-9A05-B0DE8037A68B}</x14:id>
        </ext>
      </extLst>
    </cfRule>
  </conditionalFormatting>
  <conditionalFormatting sqref="C22:C23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{31AC97A0-5E1B-451E-8BB7-25F1B57CF3B1}</x14:id>
        </ext>
      </extLst>
    </cfRule>
  </conditionalFormatting>
  <conditionalFormatting sqref="C28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{FEFA91EC-3607-4B2A-BBB8-42F4FD890175}</x14:id>
        </ext>
      </extLst>
    </cfRule>
  </conditionalFormatting>
  <conditionalFormatting sqref="C25:C27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{A3202855-E826-4004-91BB-9230979DA85F}</x14:id>
        </ext>
      </extLst>
    </cfRule>
  </conditionalFormatting>
  <conditionalFormatting sqref="C3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{6E38D7EE-394B-44EF-A145-9B10D2CC583C}</x14:id>
        </ext>
      </extLst>
    </cfRule>
  </conditionalFormatting>
  <conditionalFormatting sqref="C30:C3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{B0565483-0FEF-49F7-AE3C-D7FA83E0A542}</x14:id>
        </ext>
      </extLst>
    </cfRule>
  </conditionalFormatting>
  <conditionalFormatting sqref="C3:C8 C10:C19 C21:C3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{F649386E-1554-4E1F-B862-33108D8F618A}</x14:id>
        </ext>
      </extLst>
    </cfRule>
  </conditionalFormatting>
  <conditionalFormatting sqref="C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{6AF4A418-6DB7-42E4-9F6F-A492AA8E9AA5}</x14:id>
        </ext>
      </extLst>
    </cfRule>
  </conditionalFormatting>
  <conditionalFormatting sqref="C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{3160BEE5-11E4-4F15-AE2D-29E89CE9FB77}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08A6EB-5D21-4133-98F4-E84EB4BBAD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C34</xm:sqref>
        </x14:conditionalFormatting>
        <x14:conditionalFormatting xmlns:xm="http://schemas.microsoft.com/office/excel/2006/main">
          <x14:cfRule type="dataBar" id="{5F49A7E3-FB6D-4F9A-A748-E37F6E78F8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C14:C16 C18:C19</xm:sqref>
        </x14:conditionalFormatting>
        <x14:conditionalFormatting xmlns:xm="http://schemas.microsoft.com/office/excel/2006/main">
          <x14:cfRule type="dataBar" id="{19E26C8D-3878-4B78-9A05-B0DE8037A68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C11:C13 C3:C8</xm:sqref>
        </x14:conditionalFormatting>
        <x14:conditionalFormatting xmlns:xm="http://schemas.microsoft.com/office/excel/2006/main">
          <x14:cfRule type="dataBar" id="{31AC97A0-5E1B-451E-8BB7-25F1B57CF3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C22:C23</xm:sqref>
        </x14:conditionalFormatting>
        <x14:conditionalFormatting xmlns:xm="http://schemas.microsoft.com/office/excel/2006/main">
          <x14:cfRule type="dataBar" id="{FEFA91EC-3607-4B2A-BBB8-42F4FD8901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C28</xm:sqref>
        </x14:conditionalFormatting>
        <x14:conditionalFormatting xmlns:xm="http://schemas.microsoft.com/office/excel/2006/main">
          <x14:cfRule type="dataBar" id="{A3202855-E826-4004-91BB-9230979DA8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C25:C27</xm:sqref>
        </x14:conditionalFormatting>
        <x14:conditionalFormatting xmlns:xm="http://schemas.microsoft.com/office/excel/2006/main">
          <x14:cfRule type="dataBar" id="{6E38D7EE-394B-44EF-A145-9B10D2CC58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C33</xm:sqref>
        </x14:conditionalFormatting>
        <x14:conditionalFormatting xmlns:xm="http://schemas.microsoft.com/office/excel/2006/main">
          <x14:cfRule type="dataBar" id="{B0565483-0FEF-49F7-AE3C-D7FA83E0A5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C30:C32</xm:sqref>
        </x14:conditionalFormatting>
        <x14:conditionalFormatting xmlns:xm="http://schemas.microsoft.com/office/excel/2006/main">
          <x14:cfRule type="dataBar" id="{F649386E-1554-4E1F-B862-33108D8F61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C3:C8 C10:C19 C21:C34</xm:sqref>
        </x14:conditionalFormatting>
        <x14:conditionalFormatting xmlns:xm="http://schemas.microsoft.com/office/excel/2006/main">
          <x14:cfRule type="dataBar" id="{6AF4A418-6DB7-42E4-9F6F-A492AA8E9A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3160BEE5-11E4-4F15-AE2D-29E89CE9FB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87"/>
  <sheetViews>
    <sheetView zoomScale="90" zoomScaleNormal="90" workbookViewId="0">
      <selection activeCell="I17" sqref="I17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611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641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/>
      <c r="B6" s="17" t="s">
        <v>646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/>
      <c r="B7" s="17" t="s">
        <v>647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/>
      <c r="B8" s="20" t="s">
        <v>648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0" spans="1:17" s="29" customFormat="1">
      <c r="B10" s="4"/>
      <c r="C10" s="4" t="s">
        <v>568</v>
      </c>
      <c r="D10" s="4" t="s">
        <v>569</v>
      </c>
      <c r="E10" s="4"/>
    </row>
    <row r="11" spans="1:17" s="29" customFormat="1">
      <c r="B11" s="4" t="s">
        <v>179</v>
      </c>
      <c r="C11" s="4">
        <v>400</v>
      </c>
      <c r="D11" s="4">
        <v>400</v>
      </c>
      <c r="E11" s="4"/>
    </row>
    <row r="12" spans="1:17" s="29" customFormat="1">
      <c r="B12" s="4" t="s">
        <v>471</v>
      </c>
      <c r="C12" s="4">
        <v>160</v>
      </c>
      <c r="D12" s="4">
        <v>200</v>
      </c>
      <c r="E12" s="4"/>
    </row>
    <row r="13" spans="1:17" s="29" customFormat="1" ht="16.8" thickBot="1">
      <c r="B13" s="4" t="s">
        <v>617</v>
      </c>
      <c r="C13" s="57">
        <f>+C11-C12</f>
        <v>240</v>
      </c>
      <c r="D13" s="57">
        <f>+D11-D12</f>
        <v>200</v>
      </c>
      <c r="E13" s="4"/>
    </row>
    <row r="14" spans="1:17" s="29" customFormat="1" ht="16.8" thickTop="1">
      <c r="B14" s="4" t="s">
        <v>613</v>
      </c>
      <c r="C14" s="4"/>
      <c r="D14" s="4"/>
      <c r="E14" s="4">
        <v>20000</v>
      </c>
    </row>
    <row r="15" spans="1:17" s="29" customFormat="1"/>
    <row r="16" spans="1:17" s="29" customFormat="1">
      <c r="B16" s="29" t="s">
        <v>642</v>
      </c>
      <c r="C16" s="29">
        <v>2</v>
      </c>
      <c r="D16" s="29">
        <v>4</v>
      </c>
      <c r="E16" s="29" t="s">
        <v>644</v>
      </c>
    </row>
    <row r="17" spans="1:17" s="29" customFormat="1">
      <c r="B17" s="29" t="s">
        <v>645</v>
      </c>
      <c r="E17" s="29">
        <v>1600</v>
      </c>
      <c r="F17" s="29" t="s">
        <v>333</v>
      </c>
    </row>
    <row r="18" spans="1:17" s="29" customFormat="1">
      <c r="B18" s="29" t="s">
        <v>643</v>
      </c>
      <c r="C18" s="29">
        <v>440</v>
      </c>
      <c r="D18" s="29">
        <v>360</v>
      </c>
      <c r="E18" s="29" t="s">
        <v>488</v>
      </c>
    </row>
    <row r="19" spans="1:17" s="29" customFormat="1"/>
    <row r="20" spans="1:17" s="29" customFormat="1">
      <c r="B20" s="58" t="s">
        <v>624</v>
      </c>
      <c r="C20" s="4">
        <f>+C13/C16</f>
        <v>120</v>
      </c>
      <c r="D20" s="4">
        <f>+D13/D16</f>
        <v>50</v>
      </c>
      <c r="E20" s="4" t="s">
        <v>628</v>
      </c>
    </row>
    <row r="21" spans="1:17" s="29" customFormat="1">
      <c r="B21" s="58" t="s">
        <v>625</v>
      </c>
      <c r="C21" s="28">
        <f>+C18</f>
        <v>440</v>
      </c>
      <c r="D21" s="28">
        <f>+(E17-C21*C16)/D16</f>
        <v>180</v>
      </c>
      <c r="E21" s="4" t="s">
        <v>629</v>
      </c>
    </row>
    <row r="22" spans="1:17" s="29" customFormat="1"/>
    <row r="23" spans="1:17" s="29" customFormat="1">
      <c r="B23" s="29" t="s">
        <v>367</v>
      </c>
      <c r="E23" s="193">
        <f>+C13*C21+D13*D21-E14</f>
        <v>121600</v>
      </c>
    </row>
    <row r="25" spans="1:17" ht="18" customHeight="1">
      <c r="A25" s="13" t="s">
        <v>612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>
      <c r="A26" s="16"/>
      <c r="B26" s="17" t="s">
        <v>649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</row>
    <row r="27" spans="1:17">
      <c r="A27" s="16"/>
      <c r="B27" s="17" t="s">
        <v>650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</row>
    <row r="28" spans="1:17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30" spans="1:17">
      <c r="B30" s="4" t="s">
        <v>206</v>
      </c>
    </row>
    <row r="31" spans="1:17">
      <c r="C31" s="4" t="s">
        <v>568</v>
      </c>
      <c r="D31" s="4" t="s">
        <v>569</v>
      </c>
    </row>
    <row r="32" spans="1:17">
      <c r="B32" s="4" t="s">
        <v>179</v>
      </c>
      <c r="C32" s="4">
        <v>1600</v>
      </c>
      <c r="D32" s="4">
        <v>1200</v>
      </c>
    </row>
    <row r="33" spans="1:6">
      <c r="B33" s="4" t="s">
        <v>471</v>
      </c>
      <c r="C33" s="4">
        <v>1360</v>
      </c>
      <c r="D33" s="4">
        <v>840</v>
      </c>
    </row>
    <row r="34" spans="1:6" ht="16.8" thickBot="1">
      <c r="B34" s="4" t="s">
        <v>617</v>
      </c>
      <c r="C34" s="57">
        <f>+C32-C33</f>
        <v>240</v>
      </c>
      <c r="D34" s="57">
        <f t="shared" ref="D34" si="0">+D32-D33</f>
        <v>360</v>
      </c>
    </row>
    <row r="35" spans="1:6" ht="16.8" thickTop="1">
      <c r="B35" s="4" t="s">
        <v>613</v>
      </c>
      <c r="E35" s="4">
        <v>115200</v>
      </c>
    </row>
    <row r="37" spans="1:6">
      <c r="B37" s="4" t="s">
        <v>616</v>
      </c>
    </row>
    <row r="38" spans="1:6">
      <c r="B38" s="4" t="s">
        <v>614</v>
      </c>
      <c r="C38" s="4">
        <v>2</v>
      </c>
      <c r="D38" s="4">
        <v>4</v>
      </c>
    </row>
    <row r="39" spans="1:6">
      <c r="B39" s="4" t="s">
        <v>615</v>
      </c>
      <c r="C39" s="4">
        <v>3</v>
      </c>
      <c r="D39" s="4">
        <v>3</v>
      </c>
    </row>
    <row r="41" spans="1:6">
      <c r="B41" s="4" t="s">
        <v>618</v>
      </c>
      <c r="C41" s="4">
        <v>800</v>
      </c>
      <c r="D41" s="4">
        <v>300</v>
      </c>
    </row>
    <row r="43" spans="1:6">
      <c r="A43" s="4" t="s">
        <v>619</v>
      </c>
    </row>
    <row r="44" spans="1:6">
      <c r="B44" s="4" t="s">
        <v>620</v>
      </c>
      <c r="C44" s="4">
        <v>3</v>
      </c>
      <c r="D44" s="4">
        <v>2</v>
      </c>
    </row>
    <row r="46" spans="1:6">
      <c r="C46" s="4" t="s">
        <v>568</v>
      </c>
      <c r="D46" s="4" t="s">
        <v>569</v>
      </c>
      <c r="E46" s="4" t="s">
        <v>572</v>
      </c>
    </row>
    <row r="47" spans="1:6">
      <c r="B47" s="4" t="s">
        <v>179</v>
      </c>
      <c r="C47" s="4">
        <f>+C32*C$44</f>
        <v>4800</v>
      </c>
      <c r="D47" s="4">
        <f t="shared" ref="D47:D49" si="1">+D32*D$44</f>
        <v>2400</v>
      </c>
      <c r="E47" s="4">
        <f>SUM(C47:D47)</f>
        <v>7200</v>
      </c>
    </row>
    <row r="48" spans="1:6">
      <c r="B48" s="4" t="s">
        <v>471</v>
      </c>
      <c r="C48" s="4">
        <f t="shared" ref="C48" si="2">+C33*C$44</f>
        <v>4080</v>
      </c>
      <c r="D48" s="4">
        <f t="shared" si="1"/>
        <v>1680</v>
      </c>
      <c r="E48" s="4">
        <f t="shared" ref="E48:E49" si="3">SUM(C48:D48)</f>
        <v>5760</v>
      </c>
      <c r="F48" s="4" t="s">
        <v>473</v>
      </c>
    </row>
    <row r="49" spans="1:6" ht="16.8" thickBot="1">
      <c r="B49" s="4" t="s">
        <v>617</v>
      </c>
      <c r="C49" s="57">
        <f t="shared" ref="C49" si="4">+C34*C$44</f>
        <v>720</v>
      </c>
      <c r="D49" s="57">
        <f t="shared" si="1"/>
        <v>720</v>
      </c>
      <c r="E49" s="57">
        <f t="shared" si="3"/>
        <v>1440</v>
      </c>
      <c r="F49" s="161">
        <f>+E49/E47</f>
        <v>0.2</v>
      </c>
    </row>
    <row r="50" spans="1:6" ht="16.8" thickTop="1"/>
    <row r="51" spans="1:6">
      <c r="B51" s="4" t="s">
        <v>621</v>
      </c>
      <c r="C51" s="192">
        <f>+E51*C44</f>
        <v>240</v>
      </c>
      <c r="D51" s="192">
        <f>+E51*D44</f>
        <v>160</v>
      </c>
      <c r="E51" s="4">
        <f>+E35/F49/E47</f>
        <v>80</v>
      </c>
      <c r="F51" s="4" t="s">
        <v>622</v>
      </c>
    </row>
    <row r="53" spans="1:6">
      <c r="A53" s="4" t="s">
        <v>623</v>
      </c>
    </row>
    <row r="55" spans="1:6">
      <c r="B55" s="4" t="s">
        <v>626</v>
      </c>
      <c r="E55" s="4">
        <v>1800</v>
      </c>
      <c r="F55" s="4" t="s">
        <v>627</v>
      </c>
    </row>
    <row r="57" spans="1:6">
      <c r="B57" s="58" t="s">
        <v>624</v>
      </c>
      <c r="C57" s="4">
        <f>+C34/C38</f>
        <v>120</v>
      </c>
      <c r="D57" s="4">
        <f>+D34/D38</f>
        <v>90</v>
      </c>
      <c r="E57" s="4" t="s">
        <v>628</v>
      </c>
    </row>
    <row r="58" spans="1:6">
      <c r="B58" s="58" t="s">
        <v>625</v>
      </c>
      <c r="C58" s="28">
        <f>+C41</f>
        <v>800</v>
      </c>
      <c r="D58" s="28">
        <f>+(E55-C58*C38)/D38</f>
        <v>50</v>
      </c>
      <c r="E58" s="4" t="s">
        <v>629</v>
      </c>
    </row>
    <row r="61" spans="1:6">
      <c r="A61" s="4" t="s">
        <v>630</v>
      </c>
    </row>
    <row r="62" spans="1:6">
      <c r="B62" s="58" t="s">
        <v>569</v>
      </c>
    </row>
    <row r="63" spans="1:6">
      <c r="B63" s="4">
        <v>700</v>
      </c>
      <c r="C63" s="54" t="s">
        <v>631</v>
      </c>
      <c r="D63" s="27"/>
      <c r="E63" s="27"/>
      <c r="F63" s="27"/>
    </row>
    <row r="64" spans="1:6">
      <c r="C64" s="54"/>
      <c r="D64" s="27"/>
      <c r="E64" s="27"/>
      <c r="F64" s="27"/>
    </row>
    <row r="65" spans="2:7">
      <c r="C65" s="54"/>
      <c r="D65" s="27"/>
      <c r="E65" s="27"/>
      <c r="F65" s="27"/>
    </row>
    <row r="66" spans="2:7">
      <c r="C66" s="54"/>
      <c r="D66" s="27"/>
      <c r="E66" s="27"/>
      <c r="F66" s="27"/>
    </row>
    <row r="67" spans="2:7">
      <c r="C67" s="54"/>
      <c r="D67" s="27"/>
      <c r="E67" s="27"/>
      <c r="F67" s="27"/>
    </row>
    <row r="68" spans="2:7">
      <c r="B68" s="4">
        <v>450</v>
      </c>
      <c r="C68" s="54"/>
      <c r="D68" s="27"/>
      <c r="E68" s="27"/>
      <c r="F68" s="27"/>
    </row>
    <row r="69" spans="2:7">
      <c r="C69" s="54"/>
      <c r="D69" s="27"/>
      <c r="E69" s="27"/>
      <c r="F69" s="27"/>
    </row>
    <row r="70" spans="2:7">
      <c r="C70" s="54"/>
      <c r="D70" s="27"/>
      <c r="E70" s="27"/>
      <c r="F70" s="27"/>
    </row>
    <row r="71" spans="2:7">
      <c r="B71" s="4">
        <v>300</v>
      </c>
      <c r="C71" s="54"/>
      <c r="D71" s="27"/>
      <c r="E71" s="27"/>
      <c r="F71" s="27"/>
    </row>
    <row r="72" spans="2:7">
      <c r="C72" s="54"/>
      <c r="D72" s="27"/>
      <c r="E72" s="27"/>
      <c r="F72" s="27"/>
    </row>
    <row r="73" spans="2:7">
      <c r="C73" s="54"/>
      <c r="D73" s="27"/>
      <c r="E73" s="27"/>
      <c r="F73" s="27"/>
    </row>
    <row r="74" spans="2:7">
      <c r="C74" s="54"/>
      <c r="D74" s="27"/>
      <c r="E74" s="27"/>
      <c r="F74" s="27" t="s">
        <v>632</v>
      </c>
    </row>
    <row r="75" spans="2:7">
      <c r="C75" s="54"/>
      <c r="D75" s="27"/>
      <c r="E75" s="27"/>
      <c r="F75" s="27"/>
    </row>
    <row r="76" spans="2:7">
      <c r="C76" s="25"/>
      <c r="D76" s="51"/>
      <c r="E76" s="51"/>
      <c r="F76" s="51"/>
    </row>
    <row r="77" spans="2:7">
      <c r="B77" s="4">
        <v>0</v>
      </c>
      <c r="C77" s="4">
        <v>300</v>
      </c>
      <c r="D77" s="4">
        <v>500</v>
      </c>
      <c r="E77" s="4">
        <v>700</v>
      </c>
      <c r="F77" s="4">
        <v>900</v>
      </c>
      <c r="G77" s="4" t="s">
        <v>568</v>
      </c>
    </row>
    <row r="79" spans="2:7">
      <c r="C79" s="4" t="s">
        <v>637</v>
      </c>
    </row>
    <row r="80" spans="2:7">
      <c r="C80" s="4" t="s">
        <v>568</v>
      </c>
      <c r="D80" s="4" t="s">
        <v>569</v>
      </c>
      <c r="E80" s="4" t="s">
        <v>638</v>
      </c>
    </row>
    <row r="81" spans="2:6">
      <c r="B81" s="4" t="s">
        <v>633</v>
      </c>
      <c r="C81" s="4">
        <v>0</v>
      </c>
      <c r="D81" s="4">
        <v>300</v>
      </c>
      <c r="E81" s="4">
        <f>+C81*C$34+D81*D$34</f>
        <v>108000</v>
      </c>
    </row>
    <row r="82" spans="2:6">
      <c r="B82" s="4" t="s">
        <v>634</v>
      </c>
      <c r="C82" s="4">
        <v>300</v>
      </c>
      <c r="D82" s="4">
        <v>300</v>
      </c>
      <c r="E82" s="4">
        <f t="shared" ref="E82:E84" si="5">+C82*C$34+D82*D$34</f>
        <v>180000</v>
      </c>
    </row>
    <row r="83" spans="2:6">
      <c r="B83" s="162" t="s">
        <v>635</v>
      </c>
      <c r="C83" s="164">
        <v>500</v>
      </c>
      <c r="D83" s="164">
        <v>200</v>
      </c>
      <c r="E83" s="162">
        <f t="shared" si="5"/>
        <v>192000</v>
      </c>
      <c r="F83" s="4" t="s">
        <v>639</v>
      </c>
    </row>
    <row r="84" spans="2:6">
      <c r="B84" s="4" t="s">
        <v>636</v>
      </c>
      <c r="C84" s="4">
        <v>700</v>
      </c>
      <c r="D84" s="4">
        <v>0</v>
      </c>
      <c r="E84" s="4">
        <f t="shared" si="5"/>
        <v>168000</v>
      </c>
    </row>
    <row r="86" spans="2:6">
      <c r="E86" s="4" t="s">
        <v>640</v>
      </c>
    </row>
    <row r="87" spans="2:6">
      <c r="E87" s="28">
        <f>+E83-E35</f>
        <v>76800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102"/>
  <sheetViews>
    <sheetView zoomScale="90" zoomScaleNormal="90" workbookViewId="0">
      <selection activeCell="P35" sqref="P35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651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652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/>
      <c r="B6" s="17" t="s">
        <v>685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/>
      <c r="B7" s="17" t="s">
        <v>686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/>
      <c r="B8" s="20" t="s">
        <v>687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0" spans="1:17" s="29" customFormat="1">
      <c r="B10" s="4"/>
      <c r="C10" s="4" t="s">
        <v>568</v>
      </c>
      <c r="D10" s="4" t="s">
        <v>569</v>
      </c>
      <c r="E10" s="4"/>
      <c r="F10" s="4"/>
    </row>
    <row r="11" spans="1:17" s="29" customFormat="1">
      <c r="B11" s="58" t="s">
        <v>179</v>
      </c>
      <c r="C11" s="4">
        <v>400</v>
      </c>
      <c r="D11" s="4">
        <v>400</v>
      </c>
      <c r="E11" s="4"/>
      <c r="F11" s="4"/>
    </row>
    <row r="12" spans="1:17" s="29" customFormat="1">
      <c r="B12" s="58" t="s">
        <v>471</v>
      </c>
      <c r="C12" s="4">
        <v>160</v>
      </c>
      <c r="D12" s="4">
        <v>200</v>
      </c>
      <c r="E12" s="4"/>
      <c r="F12" s="4"/>
    </row>
    <row r="13" spans="1:17" s="29" customFormat="1" ht="16.8" thickBot="1">
      <c r="B13" s="58" t="s">
        <v>617</v>
      </c>
      <c r="C13" s="57">
        <f>+C11-C12</f>
        <v>240</v>
      </c>
      <c r="D13" s="57">
        <f t="shared" ref="D13" si="0">+D11-D12</f>
        <v>200</v>
      </c>
      <c r="E13" s="4"/>
      <c r="F13" s="4"/>
    </row>
    <row r="14" spans="1:17" s="29" customFormat="1" ht="16.8" thickTop="1">
      <c r="B14" s="58" t="s">
        <v>613</v>
      </c>
      <c r="C14" s="4"/>
      <c r="D14" s="4"/>
      <c r="E14" s="4">
        <v>20000</v>
      </c>
      <c r="F14" s="4"/>
    </row>
    <row r="15" spans="1:17" s="29" customFormat="1">
      <c r="B15" s="58"/>
      <c r="C15" s="4"/>
      <c r="D15" s="4"/>
      <c r="E15" s="4" t="s">
        <v>674</v>
      </c>
      <c r="F15" s="4"/>
    </row>
    <row r="16" spans="1:17" s="29" customFormat="1">
      <c r="B16" s="58" t="s">
        <v>672</v>
      </c>
      <c r="C16" s="4">
        <v>4</v>
      </c>
      <c r="D16" s="4">
        <v>2</v>
      </c>
      <c r="E16" s="4">
        <v>2000</v>
      </c>
      <c r="F16" s="4" t="s">
        <v>675</v>
      </c>
    </row>
    <row r="17" spans="2:7" s="29" customFormat="1">
      <c r="B17" s="58" t="s">
        <v>670</v>
      </c>
      <c r="C17" s="4">
        <v>2</v>
      </c>
      <c r="D17" s="4">
        <v>4</v>
      </c>
      <c r="E17" s="4">
        <v>1600</v>
      </c>
      <c r="F17" s="4" t="s">
        <v>673</v>
      </c>
    </row>
    <row r="18" spans="2:7" s="29" customFormat="1">
      <c r="B18" s="58" t="s">
        <v>671</v>
      </c>
      <c r="C18" s="4">
        <v>440</v>
      </c>
      <c r="D18" s="4">
        <v>360</v>
      </c>
      <c r="E18" s="4"/>
      <c r="F18" s="4"/>
    </row>
    <row r="19" spans="2:7" s="29" customFormat="1">
      <c r="B19" s="4"/>
      <c r="C19" s="195"/>
      <c r="D19" s="4"/>
      <c r="E19" s="4"/>
      <c r="F19" s="4"/>
    </row>
    <row r="20" spans="2:7">
      <c r="B20" s="58" t="s">
        <v>569</v>
      </c>
    </row>
    <row r="21" spans="2:7">
      <c r="B21" s="4">
        <v>1000</v>
      </c>
      <c r="C21" s="54" t="s">
        <v>655</v>
      </c>
      <c r="D21" s="27"/>
      <c r="E21" s="27"/>
      <c r="F21" s="27"/>
    </row>
    <row r="22" spans="2:7">
      <c r="C22" s="54"/>
      <c r="D22" s="27"/>
      <c r="E22" s="27"/>
      <c r="F22" s="27"/>
    </row>
    <row r="23" spans="2:7">
      <c r="C23" s="54"/>
      <c r="D23" s="27"/>
      <c r="E23" s="27"/>
      <c r="F23" s="27"/>
    </row>
    <row r="24" spans="2:7">
      <c r="C24" s="54"/>
      <c r="D24" s="27"/>
      <c r="E24" s="27"/>
      <c r="F24" s="27"/>
    </row>
    <row r="25" spans="2:7">
      <c r="C25" s="54"/>
      <c r="D25" s="27"/>
      <c r="E25" s="27"/>
      <c r="F25" s="27"/>
    </row>
    <row r="26" spans="2:7">
      <c r="B26" s="4">
        <v>500</v>
      </c>
      <c r="C26" s="54"/>
      <c r="D26" s="27"/>
      <c r="E26" s="27"/>
      <c r="F26" s="27"/>
    </row>
    <row r="27" spans="2:7">
      <c r="C27" s="54"/>
      <c r="D27" s="27"/>
      <c r="E27" s="27"/>
      <c r="F27" s="27"/>
    </row>
    <row r="28" spans="2:7">
      <c r="B28" s="4">
        <v>360</v>
      </c>
      <c r="C28" s="54"/>
      <c r="D28" s="27"/>
      <c r="E28" s="27"/>
      <c r="F28" s="27" t="s">
        <v>656</v>
      </c>
    </row>
    <row r="29" spans="2:7">
      <c r="C29" s="54"/>
      <c r="D29" s="27"/>
      <c r="E29" s="27"/>
      <c r="F29" s="27"/>
    </row>
    <row r="30" spans="2:7">
      <c r="C30" s="25"/>
      <c r="D30" s="51"/>
      <c r="E30" s="51"/>
      <c r="F30" s="51"/>
    </row>
    <row r="31" spans="2:7">
      <c r="B31" s="4">
        <v>0</v>
      </c>
      <c r="D31" s="4">
        <v>500</v>
      </c>
      <c r="E31" s="4">
        <v>800</v>
      </c>
      <c r="F31" s="59"/>
      <c r="G31" s="4" t="s">
        <v>568</v>
      </c>
    </row>
    <row r="32" spans="2:7" s="29" customFormat="1">
      <c r="B32" s="4"/>
      <c r="C32" s="4"/>
      <c r="D32" s="194">
        <v>440</v>
      </c>
      <c r="E32" s="4"/>
      <c r="F32" s="4"/>
    </row>
    <row r="33" spans="1:17" s="29" customFormat="1">
      <c r="B33" s="4"/>
      <c r="C33" s="4"/>
      <c r="D33" s="4"/>
      <c r="E33" s="4"/>
      <c r="F33" s="4"/>
    </row>
    <row r="34" spans="1:17" s="29" customFormat="1">
      <c r="A34" s="29" t="s">
        <v>683</v>
      </c>
      <c r="B34" s="4"/>
      <c r="C34" s="4"/>
      <c r="D34" s="4"/>
      <c r="E34" s="4" t="s">
        <v>681</v>
      </c>
      <c r="F34" s="4"/>
    </row>
    <row r="35" spans="1:17" s="29" customFormat="1">
      <c r="B35" s="4" t="s">
        <v>676</v>
      </c>
      <c r="C35" s="4">
        <v>0</v>
      </c>
      <c r="D35" s="4">
        <v>360</v>
      </c>
      <c r="E35" s="4">
        <f>+C35*$C$13+D35*$D$13</f>
        <v>72000</v>
      </c>
      <c r="F35" s="4"/>
    </row>
    <row r="36" spans="1:17" s="29" customFormat="1">
      <c r="B36" s="29" t="s">
        <v>677</v>
      </c>
      <c r="C36" s="29">
        <v>80</v>
      </c>
      <c r="D36" s="29">
        <v>360</v>
      </c>
      <c r="E36" s="4">
        <f t="shared" ref="E36:E39" si="1">+C36*$C$13+D36*$D$13</f>
        <v>91200</v>
      </c>
    </row>
    <row r="37" spans="1:17" s="29" customFormat="1">
      <c r="B37" s="172" t="s">
        <v>678</v>
      </c>
      <c r="C37" s="196">
        <v>400</v>
      </c>
      <c r="D37" s="196">
        <v>200</v>
      </c>
      <c r="E37" s="162">
        <f t="shared" si="1"/>
        <v>136000</v>
      </c>
      <c r="F37" s="29" t="s">
        <v>682</v>
      </c>
    </row>
    <row r="38" spans="1:17" s="29" customFormat="1">
      <c r="B38" s="29" t="s">
        <v>679</v>
      </c>
      <c r="C38" s="29">
        <v>440</v>
      </c>
      <c r="D38" s="29">
        <v>120</v>
      </c>
      <c r="E38" s="4">
        <f t="shared" si="1"/>
        <v>129600</v>
      </c>
    </row>
    <row r="39" spans="1:17" s="29" customFormat="1">
      <c r="B39" s="29" t="s">
        <v>680</v>
      </c>
      <c r="C39" s="29">
        <v>440</v>
      </c>
      <c r="D39" s="29">
        <v>0</v>
      </c>
      <c r="E39" s="4">
        <f t="shared" si="1"/>
        <v>105600</v>
      </c>
    </row>
    <row r="40" spans="1:17" s="29" customFormat="1"/>
    <row r="41" spans="1:17" s="29" customFormat="1">
      <c r="E41" s="29" t="s">
        <v>684</v>
      </c>
    </row>
    <row r="42" spans="1:17" s="29" customFormat="1">
      <c r="E42" s="193">
        <f>+E37-E14</f>
        <v>116000</v>
      </c>
    </row>
    <row r="45" spans="1:17" ht="18" customHeight="1">
      <c r="A45" s="13" t="s">
        <v>612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</row>
    <row r="46" spans="1:17">
      <c r="A46" s="16"/>
      <c r="B46" s="17" t="s">
        <v>688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/>
    </row>
    <row r="47" spans="1:17">
      <c r="A47" s="16"/>
      <c r="B47" s="17" t="s">
        <v>689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</row>
    <row r="48" spans="1:17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1"/>
    </row>
    <row r="50" spans="1:6">
      <c r="B50" s="4" t="s">
        <v>206</v>
      </c>
    </row>
    <row r="51" spans="1:6">
      <c r="C51" s="4" t="s">
        <v>568</v>
      </c>
      <c r="D51" s="4" t="s">
        <v>569</v>
      </c>
    </row>
    <row r="52" spans="1:6">
      <c r="B52" s="4" t="s">
        <v>179</v>
      </c>
      <c r="C52" s="4">
        <v>750</v>
      </c>
      <c r="D52" s="4">
        <v>500</v>
      </c>
    </row>
    <row r="53" spans="1:6">
      <c r="B53" s="4" t="s">
        <v>471</v>
      </c>
      <c r="C53" s="4">
        <v>450</v>
      </c>
      <c r="D53" s="4">
        <v>300</v>
      </c>
    </row>
    <row r="54" spans="1:6" ht="16.8" thickBot="1">
      <c r="B54" s="4" t="s">
        <v>617</v>
      </c>
      <c r="C54" s="57">
        <f>+C52-C53</f>
        <v>300</v>
      </c>
      <c r="D54" s="57">
        <f t="shared" ref="D54" si="2">+D52-D53</f>
        <v>200</v>
      </c>
    </row>
    <row r="55" spans="1:6" ht="16.8" thickTop="1">
      <c r="B55" s="4" t="s">
        <v>613</v>
      </c>
      <c r="E55" s="4">
        <v>850000</v>
      </c>
    </row>
    <row r="57" spans="1:6">
      <c r="B57" s="4" t="s">
        <v>616</v>
      </c>
    </row>
    <row r="58" spans="1:6">
      <c r="B58" s="4" t="s">
        <v>614</v>
      </c>
      <c r="C58" s="4">
        <v>4</v>
      </c>
      <c r="D58" s="4">
        <v>2</v>
      </c>
    </row>
    <row r="59" spans="1:6">
      <c r="B59" s="4" t="s">
        <v>615</v>
      </c>
      <c r="C59" s="195">
        <v>1.2</v>
      </c>
      <c r="D59" s="4">
        <v>1</v>
      </c>
    </row>
    <row r="60" spans="1:6">
      <c r="B60" s="4" t="s">
        <v>653</v>
      </c>
      <c r="C60" s="4">
        <v>16000</v>
      </c>
      <c r="D60" s="4">
        <v>6000</v>
      </c>
      <c r="F60" s="4" t="s">
        <v>627</v>
      </c>
    </row>
    <row r="62" spans="1:6">
      <c r="B62" s="4" t="s">
        <v>618</v>
      </c>
      <c r="C62" s="4">
        <v>6000</v>
      </c>
      <c r="D62" s="4">
        <v>4500</v>
      </c>
    </row>
    <row r="64" spans="1:6">
      <c r="A64" s="4" t="s">
        <v>477</v>
      </c>
      <c r="B64" s="4" t="s">
        <v>654</v>
      </c>
    </row>
    <row r="66" spans="2:6">
      <c r="B66" s="58" t="s">
        <v>569</v>
      </c>
    </row>
    <row r="67" spans="2:6">
      <c r="B67" s="4">
        <v>8000</v>
      </c>
      <c r="C67" s="54" t="s">
        <v>655</v>
      </c>
      <c r="D67" s="27"/>
      <c r="E67" s="27"/>
      <c r="F67" s="27"/>
    </row>
    <row r="68" spans="2:6">
      <c r="C68" s="54"/>
      <c r="D68" s="27"/>
      <c r="E68" s="27"/>
      <c r="F68" s="27"/>
    </row>
    <row r="69" spans="2:6">
      <c r="C69" s="54"/>
      <c r="D69" s="27"/>
      <c r="E69" s="27"/>
      <c r="F69" s="27"/>
    </row>
    <row r="70" spans="2:6">
      <c r="C70" s="54"/>
      <c r="D70" s="27"/>
      <c r="E70" s="27"/>
      <c r="F70" s="27"/>
    </row>
    <row r="71" spans="2:6">
      <c r="B71" s="4">
        <v>6000</v>
      </c>
      <c r="C71" s="54"/>
      <c r="D71" s="27"/>
      <c r="E71" s="27"/>
      <c r="F71" s="27"/>
    </row>
    <row r="72" spans="2:6">
      <c r="C72" s="54"/>
      <c r="D72" s="27"/>
      <c r="E72" s="27"/>
      <c r="F72" s="27"/>
    </row>
    <row r="73" spans="2:6">
      <c r="C73" s="54"/>
      <c r="D73" s="27"/>
      <c r="E73" s="27"/>
      <c r="F73" s="27"/>
    </row>
    <row r="74" spans="2:6">
      <c r="B74" s="4">
        <v>4500</v>
      </c>
      <c r="C74" s="54"/>
      <c r="D74" s="27"/>
      <c r="E74" s="27"/>
      <c r="F74" s="27"/>
    </row>
    <row r="75" spans="2:6">
      <c r="C75" s="54"/>
      <c r="D75" s="27"/>
      <c r="E75" s="27"/>
      <c r="F75" s="27"/>
    </row>
    <row r="76" spans="2:6">
      <c r="C76" s="54"/>
      <c r="D76" s="27"/>
      <c r="E76" s="27"/>
      <c r="F76" s="27"/>
    </row>
    <row r="77" spans="2:6">
      <c r="C77" s="54"/>
      <c r="D77" s="27"/>
      <c r="E77" s="27"/>
      <c r="F77" s="27"/>
    </row>
    <row r="78" spans="2:6">
      <c r="C78" s="54"/>
      <c r="D78" s="27"/>
      <c r="E78" s="27"/>
      <c r="F78" s="27"/>
    </row>
    <row r="79" spans="2:6">
      <c r="C79" s="54"/>
      <c r="D79" s="27"/>
      <c r="E79" s="27"/>
      <c r="F79" s="27"/>
    </row>
    <row r="80" spans="2:6">
      <c r="C80" s="54"/>
      <c r="D80" s="27"/>
      <c r="E80" s="27"/>
      <c r="F80" s="27" t="s">
        <v>656</v>
      </c>
    </row>
    <row r="81" spans="1:7">
      <c r="C81" s="54"/>
      <c r="D81" s="27"/>
      <c r="E81" s="27"/>
      <c r="F81" s="27"/>
    </row>
    <row r="82" spans="1:7">
      <c r="C82" s="25"/>
      <c r="D82" s="51"/>
      <c r="E82" s="51"/>
      <c r="F82" s="51"/>
    </row>
    <row r="83" spans="1:7">
      <c r="B83" s="4">
        <v>0</v>
      </c>
      <c r="E83" s="4">
        <v>4000</v>
      </c>
      <c r="F83" s="59">
        <v>6000</v>
      </c>
      <c r="G83" s="4" t="s">
        <v>568</v>
      </c>
    </row>
    <row r="85" spans="1:7">
      <c r="C85" s="4" t="s">
        <v>637</v>
      </c>
    </row>
    <row r="86" spans="1:7">
      <c r="C86" s="4" t="s">
        <v>568</v>
      </c>
      <c r="D86" s="4" t="s">
        <v>569</v>
      </c>
      <c r="E86" s="4" t="s">
        <v>638</v>
      </c>
    </row>
    <row r="87" spans="1:7">
      <c r="B87" s="4" t="s">
        <v>660</v>
      </c>
      <c r="C87" s="4">
        <v>0</v>
      </c>
      <c r="D87" s="4">
        <v>4500</v>
      </c>
      <c r="E87" s="4">
        <f>+C87*C$54+D87*D$54</f>
        <v>900000</v>
      </c>
    </row>
    <row r="88" spans="1:7">
      <c r="B88" s="4" t="s">
        <v>661</v>
      </c>
      <c r="C88" s="4">
        <v>1250</v>
      </c>
      <c r="D88" s="4">
        <v>4500</v>
      </c>
      <c r="E88" s="4">
        <f t="shared" ref="E88:E90" si="3">+C88*C$54+D88*D$54</f>
        <v>1275000</v>
      </c>
    </row>
    <row r="89" spans="1:7">
      <c r="B89" s="162" t="s">
        <v>662</v>
      </c>
      <c r="C89" s="164">
        <v>2500</v>
      </c>
      <c r="D89" s="164">
        <v>3000</v>
      </c>
      <c r="E89" s="162">
        <f t="shared" si="3"/>
        <v>1350000</v>
      </c>
      <c r="F89" s="4" t="s">
        <v>639</v>
      </c>
    </row>
    <row r="90" spans="1:7">
      <c r="B90" s="4" t="s">
        <v>663</v>
      </c>
      <c r="C90" s="4">
        <v>4000</v>
      </c>
      <c r="D90" s="4">
        <v>0</v>
      </c>
      <c r="E90" s="4">
        <f t="shared" si="3"/>
        <v>1200000</v>
      </c>
    </row>
    <row r="92" spans="1:7">
      <c r="A92" s="4" t="s">
        <v>657</v>
      </c>
      <c r="E92" s="4" t="s">
        <v>640</v>
      </c>
    </row>
    <row r="93" spans="1:7">
      <c r="E93" s="28">
        <f>+E89-E55</f>
        <v>500000</v>
      </c>
    </row>
    <row r="95" spans="1:7">
      <c r="A95" s="4" t="s">
        <v>658</v>
      </c>
      <c r="B95" s="4" t="s">
        <v>659</v>
      </c>
    </row>
    <row r="96" spans="1:7">
      <c r="C96" s="4" t="s">
        <v>669</v>
      </c>
    </row>
    <row r="97" spans="2:6">
      <c r="C97" s="4" t="s">
        <v>664</v>
      </c>
    </row>
    <row r="98" spans="2:6">
      <c r="B98" s="58"/>
    </row>
    <row r="99" spans="2:6">
      <c r="B99" s="4" t="s">
        <v>661</v>
      </c>
      <c r="C99" s="4">
        <f>+C88</f>
        <v>1250</v>
      </c>
      <c r="D99" s="4" t="s">
        <v>665</v>
      </c>
      <c r="E99" s="4">
        <f>+D88*$D$54</f>
        <v>900000</v>
      </c>
    </row>
    <row r="100" spans="2:6">
      <c r="B100" s="4" t="s">
        <v>662</v>
      </c>
      <c r="C100" s="4">
        <f>+C89</f>
        <v>2500</v>
      </c>
      <c r="D100" s="4" t="s">
        <v>666</v>
      </c>
      <c r="E100" s="4">
        <f>+D89*$D$54</f>
        <v>600000</v>
      </c>
    </row>
    <row r="102" spans="2:6">
      <c r="D102" s="4" t="s">
        <v>667</v>
      </c>
      <c r="E102" s="28">
        <f>+(E99-E100)/(C100-C99)</f>
        <v>240</v>
      </c>
      <c r="F102" s="4" t="s">
        <v>668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268"/>
  <sheetViews>
    <sheetView zoomScale="90" zoomScaleNormal="90" workbookViewId="0">
      <selection activeCell="G54" sqref="G54"/>
    </sheetView>
  </sheetViews>
  <sheetFormatPr defaultColWidth="12" defaultRowHeight="16.2"/>
  <cols>
    <col min="1" max="1" width="12.109375" style="4" customWidth="1"/>
    <col min="2" max="5" width="13.109375" style="4" customWidth="1"/>
    <col min="6" max="6" width="12.6640625" style="4" customWidth="1"/>
    <col min="7" max="7" width="13.2187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690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193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0" spans="1:17" s="29" customFormat="1">
      <c r="B10" s="4" t="s">
        <v>206</v>
      </c>
      <c r="C10" s="4"/>
      <c r="D10" s="4"/>
      <c r="E10" s="4"/>
    </row>
    <row r="11" spans="1:17" s="29" customFormat="1">
      <c r="B11" s="4" t="s">
        <v>733</v>
      </c>
      <c r="C11" s="4" t="s">
        <v>176</v>
      </c>
      <c r="D11" s="4" t="s">
        <v>739</v>
      </c>
      <c r="E11" s="4"/>
      <c r="H11" s="4" t="s">
        <v>745</v>
      </c>
      <c r="I11" s="4" t="s">
        <v>759</v>
      </c>
      <c r="K11" s="63" t="s">
        <v>763</v>
      </c>
      <c r="L11" s="63"/>
      <c r="N11" s="4" t="s">
        <v>237</v>
      </c>
      <c r="O11" s="4" t="s">
        <v>816</v>
      </c>
    </row>
    <row r="12" spans="1:17" s="29" customFormat="1">
      <c r="B12" s="4" t="s">
        <v>744</v>
      </c>
      <c r="C12" s="4"/>
      <c r="D12" s="4"/>
      <c r="E12" s="4">
        <v>1000</v>
      </c>
      <c r="H12" s="26" t="s">
        <v>746</v>
      </c>
      <c r="I12" s="24" t="s">
        <v>758</v>
      </c>
      <c r="K12" s="66" t="s">
        <v>764</v>
      </c>
      <c r="L12" s="65" t="s">
        <v>741</v>
      </c>
      <c r="N12" s="26" t="s">
        <v>740</v>
      </c>
      <c r="O12" s="24" t="s">
        <v>742</v>
      </c>
    </row>
    <row r="13" spans="1:17" s="29" customFormat="1">
      <c r="B13" s="4"/>
      <c r="C13" s="4"/>
      <c r="D13" s="4"/>
      <c r="E13" s="4"/>
      <c r="H13" s="54">
        <v>15000</v>
      </c>
      <c r="I13" s="53">
        <v>600000</v>
      </c>
      <c r="J13" s="81"/>
      <c r="K13" s="70">
        <v>0</v>
      </c>
      <c r="L13" s="71">
        <f>+N18</f>
        <v>60000</v>
      </c>
      <c r="N13" s="54">
        <v>1000</v>
      </c>
      <c r="O13" s="53">
        <v>60000</v>
      </c>
    </row>
    <row r="14" spans="1:17" s="29" customFormat="1">
      <c r="B14" s="4" t="s">
        <v>167</v>
      </c>
      <c r="C14" s="4">
        <v>50</v>
      </c>
      <c r="D14" s="4">
        <v>10</v>
      </c>
      <c r="E14" s="4">
        <f>+C14*D14</f>
        <v>500</v>
      </c>
      <c r="H14" s="25"/>
      <c r="I14" s="53"/>
      <c r="J14" s="81"/>
      <c r="K14" s="73"/>
      <c r="L14" s="71"/>
      <c r="N14" s="54"/>
      <c r="O14" s="53"/>
    </row>
    <row r="15" spans="1:17" s="29" customFormat="1">
      <c r="B15" s="4" t="s">
        <v>168</v>
      </c>
      <c r="C15" s="4">
        <v>75</v>
      </c>
      <c r="D15" s="4">
        <v>2</v>
      </c>
      <c r="E15" s="4">
        <f t="shared" ref="E15" si="0">+C15*D15</f>
        <v>150</v>
      </c>
      <c r="H15" s="24"/>
      <c r="I15" s="22"/>
      <c r="J15" s="81"/>
      <c r="K15" s="65"/>
      <c r="L15" s="74"/>
      <c r="N15" s="25"/>
      <c r="O15" s="53"/>
    </row>
    <row r="16" spans="1:17" s="29" customFormat="1" ht="16.8" thickBot="1">
      <c r="B16" s="4"/>
      <c r="C16" s="4"/>
      <c r="D16" s="4"/>
      <c r="E16" s="57">
        <f>+SUM(E14:E15)</f>
        <v>650</v>
      </c>
      <c r="H16" s="53" t="s">
        <v>747</v>
      </c>
      <c r="I16" s="24" t="s">
        <v>748</v>
      </c>
      <c r="K16" s="71" t="s">
        <v>766</v>
      </c>
      <c r="L16" s="65" t="s">
        <v>765</v>
      </c>
      <c r="N16" s="24"/>
      <c r="O16" s="22"/>
    </row>
    <row r="17" spans="2:15" s="29" customFormat="1" ht="16.8" thickTop="1">
      <c r="H17" s="53">
        <f>+I13+I17-H13</f>
        <v>600000</v>
      </c>
      <c r="I17" s="53">
        <v>15000</v>
      </c>
      <c r="K17" s="71">
        <f>+L13+L17-K13</f>
        <v>60000</v>
      </c>
      <c r="L17" s="71">
        <v>0</v>
      </c>
      <c r="N17" s="53" t="s">
        <v>741</v>
      </c>
      <c r="O17" s="24" t="s">
        <v>743</v>
      </c>
    </row>
    <row r="18" spans="2:15" s="29" customFormat="1">
      <c r="H18" s="23"/>
      <c r="I18" s="23"/>
      <c r="J18" s="81"/>
      <c r="K18" s="68"/>
      <c r="L18" s="68"/>
      <c r="N18" s="53">
        <v>60000</v>
      </c>
      <c r="O18" s="53">
        <v>1000</v>
      </c>
    </row>
    <row r="19" spans="2:15" s="29" customFormat="1">
      <c r="B19" s="4"/>
      <c r="C19" s="4" t="s">
        <v>249</v>
      </c>
      <c r="D19" s="4" t="s">
        <v>755</v>
      </c>
      <c r="E19" s="4"/>
      <c r="H19" s="4"/>
      <c r="I19" s="4"/>
      <c r="J19" s="81"/>
      <c r="K19" s="4" t="s">
        <v>815</v>
      </c>
      <c r="L19" s="4"/>
      <c r="N19" s="53"/>
      <c r="O19" s="53"/>
    </row>
    <row r="20" spans="2:15" s="29" customFormat="1">
      <c r="B20" s="4" t="s">
        <v>242</v>
      </c>
      <c r="C20" s="4">
        <v>75</v>
      </c>
      <c r="D20" s="4">
        <v>80</v>
      </c>
      <c r="E20" s="4" t="s">
        <v>760</v>
      </c>
      <c r="H20" s="4" t="s">
        <v>798</v>
      </c>
      <c r="I20" s="4">
        <v>50</v>
      </c>
      <c r="J20" s="81"/>
      <c r="K20" s="4"/>
      <c r="L20" s="4"/>
      <c r="N20" s="23"/>
      <c r="O20" s="23"/>
    </row>
    <row r="21" spans="2:15" s="29" customFormat="1">
      <c r="B21" s="4" t="s">
        <v>243</v>
      </c>
      <c r="C21" s="4"/>
      <c r="D21" s="4"/>
      <c r="E21" s="4"/>
    </row>
    <row r="22" spans="2:15" s="29" customFormat="1">
      <c r="B22" s="4" t="s">
        <v>752</v>
      </c>
      <c r="C22" s="4">
        <v>25</v>
      </c>
      <c r="D22" s="4">
        <v>35</v>
      </c>
      <c r="E22" s="4" t="s">
        <v>900</v>
      </c>
    </row>
    <row r="23" spans="2:15" s="29" customFormat="1">
      <c r="B23" s="4" t="s">
        <v>753</v>
      </c>
      <c r="C23" s="4">
        <f>300-C22</f>
        <v>275</v>
      </c>
      <c r="D23" s="4">
        <f>670-D22</f>
        <v>635</v>
      </c>
      <c r="E23" s="4" t="s">
        <v>900</v>
      </c>
    </row>
    <row r="24" spans="2:15" s="29" customFormat="1"/>
    <row r="25" spans="2:15" s="29" customFormat="1">
      <c r="B25" s="29">
        <v>10000</v>
      </c>
    </row>
    <row r="26" spans="2:15" s="29" customFormat="1">
      <c r="B26" s="4" t="s">
        <v>586</v>
      </c>
      <c r="C26" s="4"/>
      <c r="D26" s="4">
        <f>+O13*E12/B25</f>
        <v>6000</v>
      </c>
      <c r="E26" s="4"/>
      <c r="F26" s="4"/>
      <c r="G26" s="4"/>
    </row>
    <row r="27" spans="2:15" s="29" customFormat="1">
      <c r="B27" s="4" t="s">
        <v>587</v>
      </c>
      <c r="C27" s="4"/>
      <c r="D27" s="51">
        <f>+O13*E16/B25</f>
        <v>3900</v>
      </c>
      <c r="E27" s="4"/>
      <c r="F27" s="4"/>
      <c r="G27" s="4"/>
    </row>
    <row r="28" spans="2:15" s="29" customFormat="1">
      <c r="B28" s="4" t="s">
        <v>99</v>
      </c>
      <c r="C28" s="4"/>
      <c r="D28" s="4">
        <f>+D26-D27</f>
        <v>2100</v>
      </c>
      <c r="E28" s="4"/>
      <c r="F28" s="4"/>
      <c r="G28" s="4"/>
    </row>
    <row r="29" spans="2:15" s="29" customFormat="1">
      <c r="B29" s="4" t="s">
        <v>287</v>
      </c>
      <c r="C29" s="4"/>
      <c r="D29" s="51">
        <f>+O13*D20/B25</f>
        <v>480</v>
      </c>
      <c r="E29" s="4"/>
      <c r="F29" s="4"/>
      <c r="G29" s="4"/>
    </row>
    <row r="30" spans="2:15" s="29" customFormat="1">
      <c r="B30" s="4" t="s">
        <v>102</v>
      </c>
      <c r="C30" s="4"/>
      <c r="D30" s="4">
        <f>+D28-D29</f>
        <v>1620</v>
      </c>
      <c r="E30" s="4"/>
      <c r="F30" s="4"/>
      <c r="G30" s="4"/>
    </row>
    <row r="31" spans="2:15" s="29" customFormat="1">
      <c r="B31" s="4" t="s">
        <v>243</v>
      </c>
      <c r="C31" s="4"/>
      <c r="D31" s="27"/>
      <c r="E31" s="4"/>
      <c r="F31" s="4"/>
      <c r="G31" s="4"/>
    </row>
    <row r="32" spans="2:15" s="29" customFormat="1">
      <c r="B32" s="4" t="s">
        <v>902</v>
      </c>
      <c r="C32" s="4"/>
      <c r="D32" s="27">
        <f>+SUM(C22:C23)</f>
        <v>300</v>
      </c>
      <c r="E32" s="4"/>
      <c r="F32" s="4"/>
      <c r="G32" s="4"/>
    </row>
    <row r="33" spans="2:7" s="29" customFormat="1">
      <c r="B33" s="4" t="s">
        <v>903</v>
      </c>
      <c r="C33" s="4"/>
      <c r="D33" s="51">
        <f>+SUM(D22:D23)</f>
        <v>670</v>
      </c>
      <c r="E33" s="4"/>
      <c r="F33" s="4"/>
      <c r="G33" s="4"/>
    </row>
    <row r="34" spans="2:7" s="29" customFormat="1">
      <c r="B34" s="4" t="s">
        <v>904</v>
      </c>
      <c r="C34" s="4"/>
      <c r="D34" s="27">
        <f>+SUM(D32:D33)</f>
        <v>970</v>
      </c>
      <c r="E34" s="4"/>
      <c r="F34" s="4"/>
      <c r="G34" s="4"/>
    </row>
    <row r="35" spans="2:7" s="29" customFormat="1">
      <c r="B35" s="4" t="s">
        <v>905</v>
      </c>
      <c r="C35" s="4"/>
      <c r="D35" s="27">
        <f>+D30-D34</f>
        <v>650</v>
      </c>
      <c r="E35" s="4"/>
      <c r="F35" s="4"/>
      <c r="G35" s="4"/>
    </row>
    <row r="36" spans="2:7" s="29" customFormat="1">
      <c r="B36" s="4" t="s">
        <v>889</v>
      </c>
      <c r="C36" s="4"/>
      <c r="D36" s="27">
        <f>+SUM(G66,F82,L86,L82)</f>
        <v>50</v>
      </c>
      <c r="E36" s="4"/>
      <c r="F36" s="4"/>
      <c r="G36" s="4"/>
    </row>
    <row r="37" spans="2:7" s="29" customFormat="1" ht="16.8" thickBot="1">
      <c r="B37" s="4" t="s">
        <v>698</v>
      </c>
      <c r="C37" s="4"/>
      <c r="D37" s="57">
        <f>+D35-D36</f>
        <v>600</v>
      </c>
      <c r="E37" s="4"/>
      <c r="F37" s="4"/>
      <c r="G37" s="4"/>
    </row>
    <row r="38" spans="2:7" s="29" customFormat="1" ht="16.8" thickTop="1">
      <c r="B38" s="4"/>
      <c r="C38" s="4"/>
      <c r="D38" s="4"/>
      <c r="E38" s="4"/>
      <c r="F38" s="4"/>
      <c r="G38" s="4"/>
    </row>
    <row r="39" spans="2:7" s="29" customFormat="1">
      <c r="B39" s="4"/>
      <c r="C39" s="4" t="s">
        <v>730</v>
      </c>
      <c r="D39" s="4" t="s">
        <v>731</v>
      </c>
      <c r="E39" s="4"/>
      <c r="F39" s="4" t="s">
        <v>730</v>
      </c>
      <c r="G39" s="4" t="s">
        <v>731</v>
      </c>
    </row>
    <row r="40" spans="2:7" s="29" customFormat="1">
      <c r="B40" s="4" t="s">
        <v>702</v>
      </c>
      <c r="C40" s="4"/>
      <c r="D40" s="4"/>
      <c r="E40" s="4" t="s">
        <v>714</v>
      </c>
      <c r="F40" s="4"/>
      <c r="G40" s="4"/>
    </row>
    <row r="41" spans="2:7" s="29" customFormat="1">
      <c r="B41" s="4" t="s">
        <v>703</v>
      </c>
      <c r="C41" s="4">
        <v>600</v>
      </c>
      <c r="D41" s="4">
        <f>+L85</f>
        <v>565</v>
      </c>
      <c r="E41" s="4" t="s">
        <v>715</v>
      </c>
      <c r="F41" s="4">
        <v>600</v>
      </c>
      <c r="G41" s="4">
        <f>+L65</f>
        <v>810</v>
      </c>
    </row>
    <row r="42" spans="2:7" s="29" customFormat="1">
      <c r="B42" s="4" t="s">
        <v>704</v>
      </c>
      <c r="C42" s="4">
        <v>810</v>
      </c>
      <c r="D42" s="4">
        <f>+J65</f>
        <v>1670</v>
      </c>
      <c r="E42" s="4" t="s">
        <v>850</v>
      </c>
      <c r="F42" s="4">
        <v>0</v>
      </c>
      <c r="G42" s="4">
        <f>+K83</f>
        <v>500</v>
      </c>
    </row>
    <row r="43" spans="2:7" s="29" customFormat="1">
      <c r="B43" s="4" t="s">
        <v>705</v>
      </c>
      <c r="C43" s="4">
        <v>65</v>
      </c>
      <c r="D43" s="4">
        <f>+O18*E16/B25</f>
        <v>65</v>
      </c>
      <c r="E43" s="4" t="s">
        <v>908</v>
      </c>
      <c r="F43" s="4"/>
      <c r="G43" s="4">
        <f>+L86</f>
        <v>5</v>
      </c>
    </row>
    <row r="44" spans="2:7" s="29" customFormat="1">
      <c r="B44" s="4" t="s">
        <v>901</v>
      </c>
      <c r="C44" s="4">
        <v>75</v>
      </c>
      <c r="D44" s="4">
        <f>+I17*I20/B25</f>
        <v>75</v>
      </c>
      <c r="E44" s="4"/>
      <c r="F44" s="4"/>
      <c r="G44" s="4"/>
    </row>
    <row r="45" spans="2:7" s="29" customFormat="1">
      <c r="B45" s="4" t="s">
        <v>707</v>
      </c>
      <c r="C45" s="4">
        <v>450</v>
      </c>
      <c r="D45" s="4">
        <f>+C45</f>
        <v>450</v>
      </c>
      <c r="E45" s="4" t="s">
        <v>717</v>
      </c>
      <c r="F45" s="42">
        <f>SUM(F41:F44)</f>
        <v>600</v>
      </c>
      <c r="G45" s="42">
        <f>SUM(G41:G44)</f>
        <v>1315</v>
      </c>
    </row>
    <row r="46" spans="2:7" s="29" customFormat="1">
      <c r="B46" s="4" t="s">
        <v>708</v>
      </c>
      <c r="C46" s="42">
        <f>SUM(C41:C45)</f>
        <v>2000</v>
      </c>
      <c r="D46" s="42">
        <f>SUM(D41:D45)</f>
        <v>2825</v>
      </c>
      <c r="E46" s="4" t="s">
        <v>718</v>
      </c>
      <c r="F46" s="4"/>
      <c r="G46" s="4"/>
    </row>
    <row r="47" spans="2:7" s="29" customFormat="1">
      <c r="B47" s="4" t="s">
        <v>709</v>
      </c>
      <c r="C47" s="4"/>
      <c r="D47" s="4"/>
      <c r="E47" s="4" t="s">
        <v>719</v>
      </c>
      <c r="F47" s="4">
        <v>750</v>
      </c>
      <c r="G47" s="4">
        <f>+F47</f>
        <v>750</v>
      </c>
    </row>
    <row r="48" spans="2:7" s="29" customFormat="1">
      <c r="B48" s="4" t="s">
        <v>710</v>
      </c>
      <c r="C48" s="4">
        <v>900</v>
      </c>
      <c r="D48" s="4">
        <f>+C48</f>
        <v>900</v>
      </c>
      <c r="E48" s="4" t="s">
        <v>720</v>
      </c>
      <c r="F48" s="42">
        <f>+F45+F47</f>
        <v>1350</v>
      </c>
      <c r="G48" s="42">
        <f>+G45+G47</f>
        <v>2065</v>
      </c>
    </row>
    <row r="49" spans="1:15" s="29" customFormat="1">
      <c r="B49" s="4" t="s">
        <v>711</v>
      </c>
      <c r="C49" s="4">
        <v>1250</v>
      </c>
      <c r="D49" s="4">
        <f>+C49+F67</f>
        <v>1550</v>
      </c>
      <c r="E49" s="4" t="s">
        <v>721</v>
      </c>
      <c r="F49" s="4"/>
      <c r="G49" s="4"/>
    </row>
    <row r="50" spans="1:15" s="29" customFormat="1">
      <c r="B50" s="4" t="s">
        <v>713</v>
      </c>
      <c r="C50" s="4">
        <v>-400</v>
      </c>
      <c r="D50" s="4">
        <f>+C50-SUM(C22:D22)</f>
        <v>-460</v>
      </c>
      <c r="E50" s="4" t="s">
        <v>722</v>
      </c>
      <c r="F50" s="4">
        <v>1000</v>
      </c>
      <c r="G50" s="4">
        <f>+F50</f>
        <v>1000</v>
      </c>
    </row>
    <row r="51" spans="1:15" s="29" customFormat="1">
      <c r="B51" s="4" t="s">
        <v>712</v>
      </c>
      <c r="C51" s="42">
        <f>SUM(C48:C50)</f>
        <v>1750</v>
      </c>
      <c r="D51" s="42">
        <f>SUM(D48:D50)</f>
        <v>1990</v>
      </c>
      <c r="E51" s="4" t="s">
        <v>723</v>
      </c>
      <c r="F51" s="4">
        <v>250</v>
      </c>
      <c r="G51" s="4">
        <f>+F51</f>
        <v>250</v>
      </c>
    </row>
    <row r="52" spans="1:15" s="29" customFormat="1">
      <c r="B52" s="4"/>
      <c r="C52" s="4"/>
      <c r="D52" s="4"/>
      <c r="E52" s="4" t="s">
        <v>724</v>
      </c>
      <c r="F52" s="4">
        <v>750</v>
      </c>
      <c r="G52" s="4">
        <v>800</v>
      </c>
    </row>
    <row r="53" spans="1:15" s="29" customFormat="1">
      <c r="B53" s="4"/>
      <c r="C53" s="4"/>
      <c r="D53" s="4"/>
      <c r="E53" s="4" t="s">
        <v>725</v>
      </c>
      <c r="F53" s="51">
        <v>400</v>
      </c>
      <c r="G53" s="80">
        <f>+G54-SUM(G50:G52)</f>
        <v>700</v>
      </c>
    </row>
    <row r="54" spans="1:15" s="29" customFormat="1">
      <c r="B54" s="4"/>
      <c r="C54" s="4"/>
      <c r="D54" s="4"/>
      <c r="E54" s="4" t="s">
        <v>726</v>
      </c>
      <c r="F54" s="4">
        <f>SUM(F50:F53)</f>
        <v>2400</v>
      </c>
      <c r="G54" s="4">
        <f>+G55-G48</f>
        <v>2750</v>
      </c>
    </row>
    <row r="55" spans="1:15" s="29" customFormat="1" ht="16.8" thickBot="1">
      <c r="B55" s="4" t="s">
        <v>728</v>
      </c>
      <c r="C55" s="57">
        <f>+C46+C51</f>
        <v>3750</v>
      </c>
      <c r="D55" s="57">
        <f>+D46+D51</f>
        <v>4815</v>
      </c>
      <c r="E55" s="4" t="s">
        <v>727</v>
      </c>
      <c r="F55" s="57">
        <f>+F48+F54</f>
        <v>3750</v>
      </c>
      <c r="G55" s="57">
        <f>+D55</f>
        <v>4815</v>
      </c>
    </row>
    <row r="56" spans="1:15" s="29" customFormat="1" ht="16.8" thickTop="1"/>
    <row r="57" spans="1:15" ht="16.8" thickBot="1">
      <c r="A57" s="56" t="s">
        <v>818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1:15">
      <c r="A58" s="43" t="s">
        <v>819</v>
      </c>
    </row>
    <row r="59" spans="1:15">
      <c r="B59" s="63" t="s">
        <v>794</v>
      </c>
      <c r="C59" s="63" t="s">
        <v>814</v>
      </c>
      <c r="D59" s="63"/>
      <c r="E59" s="63"/>
      <c r="F59" s="63"/>
      <c r="G59" s="63"/>
      <c r="I59" s="4" t="s">
        <v>767</v>
      </c>
      <c r="L59" s="4" t="s">
        <v>772</v>
      </c>
    </row>
    <row r="60" spans="1:15">
      <c r="B60" s="63"/>
      <c r="C60" s="63" t="s">
        <v>779</v>
      </c>
      <c r="D60" s="63" t="s">
        <v>782</v>
      </c>
      <c r="E60" s="63" t="s">
        <v>783</v>
      </c>
      <c r="F60" s="63" t="s">
        <v>784</v>
      </c>
      <c r="G60" s="63" t="s">
        <v>175</v>
      </c>
      <c r="I60" s="26" t="s">
        <v>768</v>
      </c>
      <c r="J60" s="24" t="s">
        <v>770</v>
      </c>
      <c r="L60" s="24" t="s">
        <v>771</v>
      </c>
      <c r="M60" s="24" t="s">
        <v>768</v>
      </c>
    </row>
    <row r="61" spans="1:15" ht="16.8" thickBot="1">
      <c r="B61" s="63" t="s">
        <v>785</v>
      </c>
      <c r="C61" s="199">
        <v>1135</v>
      </c>
      <c r="D61" s="199">
        <v>1315</v>
      </c>
      <c r="E61" s="199">
        <v>1150</v>
      </c>
      <c r="F61" s="199">
        <v>1540</v>
      </c>
      <c r="G61" s="199">
        <f>+SUM(C61:F61)</f>
        <v>5140</v>
      </c>
      <c r="I61" s="54">
        <f>+C42</f>
        <v>810</v>
      </c>
      <c r="J61" s="53">
        <f>+G61</f>
        <v>5140</v>
      </c>
      <c r="L61" s="53">
        <f>+G63</f>
        <v>2790</v>
      </c>
      <c r="M61" s="53">
        <f>+F41</f>
        <v>600</v>
      </c>
    </row>
    <row r="62" spans="1:15" ht="16.8" thickTop="1">
      <c r="B62" s="63" t="s">
        <v>786</v>
      </c>
      <c r="C62" s="63"/>
      <c r="D62" s="63"/>
      <c r="E62" s="63"/>
      <c r="F62" s="63"/>
      <c r="G62" s="63"/>
      <c r="I62" s="25"/>
      <c r="J62" s="53"/>
      <c r="L62" s="53"/>
      <c r="M62" s="23"/>
    </row>
    <row r="63" spans="1:15">
      <c r="B63" s="63" t="s">
        <v>787</v>
      </c>
      <c r="C63" s="63">
        <v>790</v>
      </c>
      <c r="D63" s="63">
        <v>580</v>
      </c>
      <c r="E63" s="63">
        <v>545</v>
      </c>
      <c r="F63" s="63">
        <v>875</v>
      </c>
      <c r="G63" s="63">
        <f t="shared" ref="G63:G69" si="1">+SUM(C63:F63)</f>
        <v>2790</v>
      </c>
      <c r="I63" s="24"/>
      <c r="J63" s="22"/>
      <c r="L63" s="23"/>
      <c r="M63" s="24"/>
    </row>
    <row r="64" spans="1:15">
      <c r="B64" s="63" t="s">
        <v>788</v>
      </c>
      <c r="C64" s="63">
        <v>380</v>
      </c>
      <c r="D64" s="63">
        <v>310</v>
      </c>
      <c r="E64" s="63">
        <v>475</v>
      </c>
      <c r="F64" s="63">
        <v>510</v>
      </c>
      <c r="G64" s="63">
        <f t="shared" si="1"/>
        <v>1675</v>
      </c>
      <c r="I64" s="53" t="s">
        <v>769</v>
      </c>
      <c r="J64" s="24" t="s">
        <v>771</v>
      </c>
      <c r="L64" s="24" t="s">
        <v>772</v>
      </c>
      <c r="M64" s="53" t="s">
        <v>769</v>
      </c>
    </row>
    <row r="65" spans="2:13">
      <c r="B65" s="63" t="s">
        <v>789</v>
      </c>
      <c r="C65" s="63">
        <v>155</v>
      </c>
      <c r="D65" s="63">
        <v>120</v>
      </c>
      <c r="E65" s="63">
        <v>135</v>
      </c>
      <c r="F65" s="63">
        <v>205</v>
      </c>
      <c r="G65" s="63">
        <f t="shared" si="1"/>
        <v>615</v>
      </c>
      <c r="I65" s="53">
        <f>+D26</f>
        <v>6000</v>
      </c>
      <c r="J65" s="53">
        <f>+I61+I65-J61</f>
        <v>1670</v>
      </c>
      <c r="L65" s="53">
        <f>+M65+M61-L61</f>
        <v>810</v>
      </c>
      <c r="M65" s="53">
        <f>+H17*I20/B25</f>
        <v>3000</v>
      </c>
    </row>
    <row r="66" spans="2:13">
      <c r="B66" s="63" t="s">
        <v>791</v>
      </c>
      <c r="C66" s="63"/>
      <c r="D66" s="63">
        <v>15</v>
      </c>
      <c r="E66" s="63"/>
      <c r="F66" s="63">
        <v>15</v>
      </c>
      <c r="G66" s="63">
        <f t="shared" si="1"/>
        <v>30</v>
      </c>
      <c r="I66" s="23"/>
      <c r="J66" s="23"/>
      <c r="L66" s="23"/>
      <c r="M66" s="23"/>
    </row>
    <row r="67" spans="2:13">
      <c r="B67" s="63" t="s">
        <v>792</v>
      </c>
      <c r="C67" s="63"/>
      <c r="D67" s="63"/>
      <c r="E67" s="63"/>
      <c r="F67" s="63">
        <v>300</v>
      </c>
      <c r="G67" s="63">
        <f t="shared" si="1"/>
        <v>300</v>
      </c>
    </row>
    <row r="68" spans="2:13">
      <c r="B68" s="63" t="s">
        <v>793</v>
      </c>
      <c r="C68" s="63">
        <v>250</v>
      </c>
      <c r="D68" s="63"/>
      <c r="E68" s="63"/>
      <c r="F68" s="63"/>
      <c r="G68" s="63">
        <f t="shared" si="1"/>
        <v>250</v>
      </c>
    </row>
    <row r="69" spans="2:13" ht="16.8" thickBot="1">
      <c r="B69" s="63"/>
      <c r="C69" s="200">
        <f>SUM(C63:C68)</f>
        <v>1575</v>
      </c>
      <c r="D69" s="200">
        <f>SUM(D63:D68)</f>
        <v>1025</v>
      </c>
      <c r="E69" s="200">
        <f>SUM(E63:E68)</f>
        <v>1155</v>
      </c>
      <c r="F69" s="200">
        <f>SUM(F63:F68)</f>
        <v>1905</v>
      </c>
      <c r="G69" s="200">
        <f t="shared" si="1"/>
        <v>5660</v>
      </c>
    </row>
    <row r="70" spans="2:13" ht="16.8" thickTop="1"/>
    <row r="71" spans="2:13">
      <c r="B71" s="4" t="s">
        <v>906</v>
      </c>
      <c r="C71" s="161">
        <v>0.04</v>
      </c>
    </row>
    <row r="73" spans="2:13">
      <c r="B73" s="4" t="s">
        <v>802</v>
      </c>
    </row>
    <row r="74" spans="2:13">
      <c r="B74" s="4" t="s">
        <v>779</v>
      </c>
      <c r="C74" s="4" t="s">
        <v>780</v>
      </c>
      <c r="E74" s="4" t="s">
        <v>782</v>
      </c>
      <c r="H74" s="4" t="s">
        <v>783</v>
      </c>
      <c r="K74" s="4" t="s">
        <v>784</v>
      </c>
    </row>
    <row r="75" spans="2:13">
      <c r="B75" s="26" t="s">
        <v>768</v>
      </c>
      <c r="C75" s="24" t="s">
        <v>778</v>
      </c>
      <c r="E75" s="26" t="s">
        <v>768</v>
      </c>
      <c r="F75" s="24" t="s">
        <v>778</v>
      </c>
      <c r="H75" s="26" t="s">
        <v>768</v>
      </c>
      <c r="I75" s="24" t="s">
        <v>778</v>
      </c>
      <c r="K75" s="26" t="s">
        <v>768</v>
      </c>
      <c r="L75" s="24" t="s">
        <v>778</v>
      </c>
    </row>
    <row r="76" spans="2:13">
      <c r="B76" s="23">
        <f>+C41</f>
        <v>600</v>
      </c>
      <c r="C76" s="53">
        <f>+C69</f>
        <v>1575</v>
      </c>
      <c r="E76" s="23">
        <f>+C85</f>
        <v>660</v>
      </c>
      <c r="F76" s="53">
        <f>+D69</f>
        <v>1025</v>
      </c>
      <c r="H76" s="23">
        <f>+F85</f>
        <v>695</v>
      </c>
      <c r="I76" s="53">
        <f>+E69</f>
        <v>1155</v>
      </c>
      <c r="K76" s="23">
        <f>+I85</f>
        <v>690</v>
      </c>
      <c r="L76" s="53">
        <f>+F69</f>
        <v>1905</v>
      </c>
    </row>
    <row r="77" spans="2:13">
      <c r="B77" s="54" t="s">
        <v>777</v>
      </c>
      <c r="C77" s="53"/>
      <c r="E77" s="54" t="s">
        <v>777</v>
      </c>
      <c r="F77" s="53"/>
      <c r="H77" s="54" t="s">
        <v>777</v>
      </c>
      <c r="I77" s="53"/>
      <c r="K77" s="54" t="s">
        <v>777</v>
      </c>
      <c r="L77" s="53"/>
    </row>
    <row r="78" spans="2:13">
      <c r="B78" s="54" t="s">
        <v>781</v>
      </c>
      <c r="C78" s="53"/>
      <c r="E78" s="54" t="s">
        <v>781</v>
      </c>
      <c r="F78" s="53"/>
      <c r="H78" s="54" t="s">
        <v>781</v>
      </c>
      <c r="I78" s="53"/>
      <c r="K78" s="54" t="s">
        <v>781</v>
      </c>
      <c r="L78" s="53"/>
    </row>
    <row r="79" spans="2:13">
      <c r="B79" s="53">
        <f>+C61</f>
        <v>1135</v>
      </c>
      <c r="C79" s="23"/>
      <c r="E79" s="53">
        <f>+D61</f>
        <v>1315</v>
      </c>
      <c r="F79" s="23"/>
      <c r="H79" s="53">
        <f>+E61</f>
        <v>1150</v>
      </c>
      <c r="I79" s="23"/>
      <c r="K79" s="53">
        <f>+F61</f>
        <v>1540</v>
      </c>
      <c r="L79" s="23"/>
    </row>
    <row r="80" spans="2:13">
      <c r="B80" s="53"/>
      <c r="C80" s="53" t="s">
        <v>799</v>
      </c>
      <c r="E80" s="53"/>
      <c r="F80" s="53" t="s">
        <v>799</v>
      </c>
      <c r="H80" s="53"/>
      <c r="I80" s="53" t="s">
        <v>799</v>
      </c>
      <c r="K80" s="53"/>
      <c r="L80" s="53" t="s">
        <v>799</v>
      </c>
    </row>
    <row r="81" spans="1:17">
      <c r="B81" s="197"/>
      <c r="C81" s="197">
        <f>+B79+B76-C76</f>
        <v>160</v>
      </c>
      <c r="E81" s="197"/>
      <c r="F81" s="197">
        <f>+E79+E76-F76</f>
        <v>950</v>
      </c>
      <c r="H81" s="197"/>
      <c r="I81" s="197">
        <f>+H79+H76-I76</f>
        <v>690</v>
      </c>
      <c r="K81" s="197"/>
      <c r="L81" s="197">
        <f>+K79+K76-L76</f>
        <v>325</v>
      </c>
    </row>
    <row r="82" spans="1:17">
      <c r="B82" s="53" t="s">
        <v>800</v>
      </c>
      <c r="C82" s="53"/>
      <c r="E82" s="53" t="s">
        <v>800</v>
      </c>
      <c r="F82" s="53">
        <f>+B83*C71/4</f>
        <v>5</v>
      </c>
      <c r="H82" s="53" t="s">
        <v>800</v>
      </c>
      <c r="I82" s="53"/>
      <c r="K82" s="53" t="s">
        <v>800</v>
      </c>
      <c r="L82" s="53">
        <f>+(B83-F83)*C71</f>
        <v>10</v>
      </c>
    </row>
    <row r="83" spans="1:17">
      <c r="B83" s="23">
        <v>500</v>
      </c>
      <c r="C83" s="23"/>
      <c r="E83" s="23"/>
      <c r="F83" s="23">
        <v>250</v>
      </c>
      <c r="H83" s="23"/>
      <c r="I83" s="23"/>
      <c r="K83" s="23">
        <v>500</v>
      </c>
      <c r="L83" s="23">
        <v>250</v>
      </c>
    </row>
    <row r="85" spans="1:17">
      <c r="B85" s="4" t="s">
        <v>801</v>
      </c>
      <c r="C85" s="4">
        <f>+B83+C81</f>
        <v>660</v>
      </c>
      <c r="F85" s="4">
        <f>+E83+F81-SUM(F82:F83)</f>
        <v>695</v>
      </c>
      <c r="I85" s="4">
        <f>+H83+I81</f>
        <v>690</v>
      </c>
      <c r="L85" s="165">
        <f>+L81+K83-SUM(L82:L83)</f>
        <v>565</v>
      </c>
    </row>
    <row r="86" spans="1:17">
      <c r="K86" s="4" t="s">
        <v>907</v>
      </c>
      <c r="L86" s="4">
        <f>+K83*C71/4</f>
        <v>5</v>
      </c>
    </row>
    <row r="88" spans="1:17" ht="18" customHeight="1">
      <c r="A88" s="13" t="s">
        <v>691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/>
    </row>
    <row r="89" spans="1:17">
      <c r="A89" s="1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/>
    </row>
    <row r="90" spans="1:17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/>
    </row>
    <row r="91" spans="1:17">
      <c r="A91" s="19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1"/>
    </row>
    <row r="93" spans="1:17">
      <c r="B93" s="4" t="s">
        <v>732</v>
      </c>
    </row>
    <row r="94" spans="1:17">
      <c r="B94" s="4" t="s">
        <v>733</v>
      </c>
      <c r="C94" s="4" t="s">
        <v>738</v>
      </c>
      <c r="D94" s="4" t="s">
        <v>739</v>
      </c>
      <c r="H94" s="4" t="s">
        <v>745</v>
      </c>
      <c r="I94" s="4" t="s">
        <v>759</v>
      </c>
      <c r="J94" s="29"/>
      <c r="K94" s="63" t="s">
        <v>763</v>
      </c>
      <c r="L94" s="63"/>
      <c r="M94" s="29"/>
      <c r="N94" s="4" t="s">
        <v>237</v>
      </c>
      <c r="O94" s="4" t="s">
        <v>816</v>
      </c>
    </row>
    <row r="95" spans="1:17">
      <c r="B95" s="4" t="s">
        <v>744</v>
      </c>
      <c r="E95" s="4">
        <v>1120</v>
      </c>
      <c r="H95" s="26" t="s">
        <v>746</v>
      </c>
      <c r="I95" s="24" t="s">
        <v>758</v>
      </c>
      <c r="J95" s="29"/>
      <c r="K95" s="66" t="s">
        <v>764</v>
      </c>
      <c r="L95" s="65" t="s">
        <v>741</v>
      </c>
      <c r="M95" s="29"/>
      <c r="N95" s="26" t="s">
        <v>740</v>
      </c>
      <c r="O95" s="24" t="s">
        <v>742</v>
      </c>
    </row>
    <row r="96" spans="1:17">
      <c r="H96" s="54">
        <v>500000</v>
      </c>
      <c r="I96" s="53">
        <f>+N101*D97</f>
        <v>15000000</v>
      </c>
      <c r="J96" s="81"/>
      <c r="K96" s="70">
        <v>0</v>
      </c>
      <c r="L96" s="71">
        <f>+N101</f>
        <v>300000</v>
      </c>
      <c r="M96" s="29"/>
      <c r="N96" s="54">
        <v>4000</v>
      </c>
      <c r="O96" s="53">
        <v>300000</v>
      </c>
    </row>
    <row r="97" spans="1:15">
      <c r="B97" s="4" t="s">
        <v>734</v>
      </c>
      <c r="C97" s="4">
        <v>10</v>
      </c>
      <c r="D97" s="4">
        <v>50</v>
      </c>
      <c r="E97" s="4">
        <f>+C97*D97</f>
        <v>500</v>
      </c>
      <c r="H97" s="25"/>
      <c r="I97" s="53"/>
      <c r="J97" s="81"/>
      <c r="K97" s="73"/>
      <c r="L97" s="71"/>
      <c r="M97" s="29"/>
      <c r="N97" s="54"/>
      <c r="O97" s="53"/>
    </row>
    <row r="98" spans="1:15">
      <c r="B98" s="4" t="s">
        <v>735</v>
      </c>
      <c r="H98" s="24"/>
      <c r="I98" s="22"/>
      <c r="J98" s="81"/>
      <c r="K98" s="65"/>
      <c r="L98" s="74"/>
      <c r="M98" s="29"/>
      <c r="N98" s="25"/>
      <c r="O98" s="53"/>
    </row>
    <row r="99" spans="1:15">
      <c r="B99" s="4" t="s">
        <v>736</v>
      </c>
      <c r="C99" s="4">
        <v>300</v>
      </c>
      <c r="D99" s="4">
        <v>1</v>
      </c>
      <c r="E99" s="4">
        <f t="shared" ref="E99:E100" si="2">+C99*D99</f>
        <v>300</v>
      </c>
      <c r="H99" s="53" t="s">
        <v>747</v>
      </c>
      <c r="I99" s="24" t="s">
        <v>748</v>
      </c>
      <c r="J99" s="29"/>
      <c r="K99" s="71" t="s">
        <v>766</v>
      </c>
      <c r="L99" s="65" t="s">
        <v>765</v>
      </c>
      <c r="M99" s="29"/>
      <c r="N99" s="24"/>
      <c r="O99" s="22"/>
    </row>
    <row r="100" spans="1:15">
      <c r="B100" s="4" t="s">
        <v>737</v>
      </c>
      <c r="C100" s="4">
        <v>100</v>
      </c>
      <c r="D100" s="4">
        <v>1</v>
      </c>
      <c r="E100" s="4">
        <f t="shared" si="2"/>
        <v>100</v>
      </c>
      <c r="H100" s="53">
        <f>+I96+I100-H96</f>
        <v>15000000</v>
      </c>
      <c r="I100" s="53">
        <v>500000</v>
      </c>
      <c r="J100" s="29"/>
      <c r="K100" s="71">
        <f>+L96+L100-K96</f>
        <v>300000</v>
      </c>
      <c r="L100" s="71">
        <v>0</v>
      </c>
      <c r="M100" s="29"/>
      <c r="N100" s="53" t="s">
        <v>741</v>
      </c>
      <c r="O100" s="24" t="s">
        <v>743</v>
      </c>
    </row>
    <row r="101" spans="1:15" ht="16.8" thickBot="1">
      <c r="E101" s="57">
        <f>+SUM(E97:E100)</f>
        <v>900</v>
      </c>
      <c r="H101" s="23"/>
      <c r="I101" s="23"/>
      <c r="J101" s="81"/>
      <c r="K101" s="68"/>
      <c r="L101" s="68"/>
      <c r="M101" s="29"/>
      <c r="N101" s="53">
        <v>300000</v>
      </c>
      <c r="O101" s="53">
        <v>4000</v>
      </c>
    </row>
    <row r="102" spans="1:15" ht="16.8" thickTop="1">
      <c r="J102" s="81"/>
      <c r="K102" s="4" t="s">
        <v>815</v>
      </c>
      <c r="M102" s="29"/>
      <c r="N102" s="53"/>
      <c r="O102" s="53"/>
    </row>
    <row r="103" spans="1:15">
      <c r="C103" s="4" t="s">
        <v>749</v>
      </c>
      <c r="D103" s="4" t="s">
        <v>755</v>
      </c>
      <c r="H103" s="4" t="s">
        <v>798</v>
      </c>
      <c r="I103" s="4">
        <v>10</v>
      </c>
      <c r="J103" s="81"/>
      <c r="M103" s="29"/>
      <c r="N103" s="23"/>
      <c r="O103" s="23"/>
    </row>
    <row r="104" spans="1:15">
      <c r="B104" s="4" t="s">
        <v>750</v>
      </c>
      <c r="C104" s="4">
        <v>300</v>
      </c>
      <c r="D104" s="4">
        <v>40</v>
      </c>
      <c r="E104" s="4" t="s">
        <v>760</v>
      </c>
    </row>
    <row r="105" spans="1:15">
      <c r="B105" s="4" t="s">
        <v>751</v>
      </c>
    </row>
    <row r="106" spans="1:15">
      <c r="B106" s="4" t="s">
        <v>752</v>
      </c>
      <c r="C106" s="4">
        <v>1600000</v>
      </c>
      <c r="D106" s="4">
        <v>200000</v>
      </c>
      <c r="E106" s="4" t="s">
        <v>754</v>
      </c>
    </row>
    <row r="107" spans="1:15">
      <c r="B107" s="4" t="s">
        <v>753</v>
      </c>
      <c r="C107" s="4">
        <v>1400000</v>
      </c>
      <c r="D107" s="4">
        <v>35800000</v>
      </c>
      <c r="E107" s="4" t="s">
        <v>754</v>
      </c>
    </row>
    <row r="109" spans="1:15">
      <c r="B109" s="4" t="s">
        <v>761</v>
      </c>
      <c r="C109" s="4">
        <v>300000</v>
      </c>
    </row>
    <row r="110" spans="1:15" ht="17.399999999999999" customHeight="1" thickBot="1">
      <c r="A110" s="56" t="s">
        <v>817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2" spans="1:15">
      <c r="B112" s="4" t="s">
        <v>701</v>
      </c>
      <c r="D112" s="4" t="s">
        <v>756</v>
      </c>
      <c r="E112" s="4">
        <v>10000</v>
      </c>
    </row>
    <row r="113" spans="2:7">
      <c r="D113" s="4" t="s">
        <v>757</v>
      </c>
    </row>
    <row r="114" spans="2:7">
      <c r="B114" s="4" t="s">
        <v>692</v>
      </c>
      <c r="D114" s="4">
        <f>+O96*E95/E112</f>
        <v>33600</v>
      </c>
    </row>
    <row r="115" spans="2:7">
      <c r="B115" s="4" t="s">
        <v>693</v>
      </c>
      <c r="D115" s="51">
        <f>+O96*E101/E112</f>
        <v>27000</v>
      </c>
    </row>
    <row r="116" spans="2:7">
      <c r="B116" s="4" t="s">
        <v>694</v>
      </c>
      <c r="D116" s="4">
        <f>+D114-D115</f>
        <v>6600</v>
      </c>
    </row>
    <row r="117" spans="2:7">
      <c r="B117" s="4" t="s">
        <v>695</v>
      </c>
      <c r="D117" s="51">
        <f>+(D104*O96+SUM(D106:D107))/E112</f>
        <v>4800</v>
      </c>
    </row>
    <row r="118" spans="2:7">
      <c r="B118" s="4" t="s">
        <v>696</v>
      </c>
      <c r="D118" s="4">
        <f>+D116-D117</f>
        <v>1800</v>
      </c>
    </row>
    <row r="119" spans="2:7">
      <c r="B119" s="4" t="s">
        <v>697</v>
      </c>
      <c r="D119" s="51">
        <f>+C175+G153</f>
        <v>550</v>
      </c>
    </row>
    <row r="120" spans="2:7">
      <c r="B120" s="4" t="s">
        <v>698</v>
      </c>
      <c r="D120" s="4">
        <f>+D118-D119</f>
        <v>1250</v>
      </c>
    </row>
    <row r="121" spans="2:7">
      <c r="B121" s="4" t="s">
        <v>699</v>
      </c>
      <c r="D121" s="4">
        <f>+D120*0.4</f>
        <v>500</v>
      </c>
    </row>
    <row r="122" spans="2:7" ht="16.8" thickBot="1">
      <c r="B122" s="4" t="s">
        <v>700</v>
      </c>
      <c r="D122" s="57">
        <f>+D120-D121</f>
        <v>750</v>
      </c>
    </row>
    <row r="123" spans="2:7" ht="16.8" thickTop="1"/>
    <row r="124" spans="2:7">
      <c r="C124" s="4" t="s">
        <v>730</v>
      </c>
      <c r="D124" s="4" t="s">
        <v>731</v>
      </c>
      <c r="F124" s="4" t="s">
        <v>730</v>
      </c>
      <c r="G124" s="4" t="s">
        <v>731</v>
      </c>
    </row>
    <row r="125" spans="2:7">
      <c r="B125" s="4" t="s">
        <v>702</v>
      </c>
      <c r="E125" s="4" t="s">
        <v>714</v>
      </c>
    </row>
    <row r="126" spans="2:7">
      <c r="B126" s="4" t="s">
        <v>703</v>
      </c>
      <c r="C126" s="4">
        <v>3000</v>
      </c>
      <c r="D126" s="4">
        <f>+L171</f>
        <v>2600</v>
      </c>
      <c r="E126" s="4" t="s">
        <v>715</v>
      </c>
      <c r="F126" s="4">
        <v>1280</v>
      </c>
      <c r="G126" s="4">
        <f>+L151</f>
        <v>5820</v>
      </c>
    </row>
    <row r="127" spans="2:7">
      <c r="B127" s="4" t="s">
        <v>704</v>
      </c>
      <c r="C127" s="4">
        <v>3100</v>
      </c>
      <c r="D127" s="4">
        <f>+J151</f>
        <v>7600</v>
      </c>
      <c r="E127" s="4" t="s">
        <v>716</v>
      </c>
      <c r="F127" s="4">
        <v>1000</v>
      </c>
      <c r="G127" s="4">
        <f>+K169</f>
        <v>3000</v>
      </c>
    </row>
    <row r="128" spans="2:7">
      <c r="B128" s="4" t="s">
        <v>705</v>
      </c>
      <c r="C128" s="4">
        <v>360</v>
      </c>
      <c r="D128" s="4">
        <f>+O101*E101/10000</f>
        <v>360</v>
      </c>
      <c r="E128" s="4" t="s">
        <v>729</v>
      </c>
      <c r="G128" s="4">
        <f>+D121</f>
        <v>500</v>
      </c>
    </row>
    <row r="129" spans="1:15">
      <c r="B129" s="4" t="s">
        <v>706</v>
      </c>
      <c r="C129" s="4">
        <v>500</v>
      </c>
      <c r="D129" s="4">
        <f>+I100*I103/10000</f>
        <v>500</v>
      </c>
      <c r="E129" s="4" t="s">
        <v>762</v>
      </c>
      <c r="G129" s="4">
        <f>+C176</f>
        <v>30</v>
      </c>
    </row>
    <row r="130" spans="1:15">
      <c r="B130" s="4" t="s">
        <v>707</v>
      </c>
      <c r="C130" s="4">
        <v>2640</v>
      </c>
      <c r="D130" s="4">
        <f>+C130</f>
        <v>2640</v>
      </c>
      <c r="E130" s="4" t="s">
        <v>717</v>
      </c>
      <c r="F130" s="42">
        <f>SUM(F126:F129)</f>
        <v>2280</v>
      </c>
      <c r="G130" s="42">
        <f>SUM(G126:G129)</f>
        <v>9350</v>
      </c>
    </row>
    <row r="131" spans="1:15">
      <c r="B131" s="4" t="s">
        <v>708</v>
      </c>
      <c r="C131" s="42">
        <f>SUM(C126:C130)</f>
        <v>9600</v>
      </c>
      <c r="D131" s="42">
        <f>SUM(D126:D130)</f>
        <v>13700</v>
      </c>
      <c r="E131" s="4" t="s">
        <v>718</v>
      </c>
    </row>
    <row r="132" spans="1:15">
      <c r="B132" s="4" t="s">
        <v>709</v>
      </c>
      <c r="E132" s="4" t="s">
        <v>719</v>
      </c>
      <c r="F132" s="4">
        <v>6000</v>
      </c>
      <c r="G132" s="4">
        <f>+F132</f>
        <v>6000</v>
      </c>
    </row>
    <row r="133" spans="1:15">
      <c r="B133" s="4" t="s">
        <v>710</v>
      </c>
      <c r="C133" s="4">
        <v>8000</v>
      </c>
      <c r="D133" s="4">
        <f>+C133</f>
        <v>8000</v>
      </c>
      <c r="E133" s="4" t="s">
        <v>720</v>
      </c>
      <c r="F133" s="42">
        <f>+F130+F132</f>
        <v>8280</v>
      </c>
      <c r="G133" s="42">
        <f>+G130+G132</f>
        <v>15350</v>
      </c>
    </row>
    <row r="134" spans="1:15">
      <c r="B134" s="4" t="s">
        <v>711</v>
      </c>
      <c r="C134" s="4">
        <v>9000</v>
      </c>
      <c r="D134" s="4">
        <f>+C134+F154</f>
        <v>10900</v>
      </c>
      <c r="E134" s="4" t="s">
        <v>721</v>
      </c>
    </row>
    <row r="135" spans="1:15">
      <c r="B135" s="4" t="s">
        <v>713</v>
      </c>
      <c r="C135" s="4">
        <v>-1600</v>
      </c>
      <c r="D135" s="4">
        <f>+C135-SUM(C106:D106)/10000</f>
        <v>-1780</v>
      </c>
      <c r="E135" s="4" t="s">
        <v>722</v>
      </c>
      <c r="F135" s="4">
        <v>8000</v>
      </c>
      <c r="G135" s="4">
        <f>+F135</f>
        <v>8000</v>
      </c>
      <c r="K135" s="4" t="s">
        <v>808</v>
      </c>
    </row>
    <row r="136" spans="1:15">
      <c r="B136" s="4" t="s">
        <v>712</v>
      </c>
      <c r="C136" s="42">
        <f>SUM(C133:C135)</f>
        <v>15400</v>
      </c>
      <c r="D136" s="42">
        <f>SUM(D133:D135)</f>
        <v>17120</v>
      </c>
      <c r="E136" s="4" t="s">
        <v>723</v>
      </c>
      <c r="F136" s="4">
        <v>2000</v>
      </c>
      <c r="G136" s="4">
        <f>+F136</f>
        <v>2000</v>
      </c>
      <c r="K136" s="26" t="s">
        <v>768</v>
      </c>
      <c r="L136" s="24" t="s">
        <v>810</v>
      </c>
    </row>
    <row r="137" spans="1:15">
      <c r="E137" s="4" t="s">
        <v>724</v>
      </c>
      <c r="F137" s="4">
        <v>3720</v>
      </c>
      <c r="G137" s="4">
        <f>+F137+C178</f>
        <v>4120</v>
      </c>
      <c r="K137" s="25">
        <f>+F138</f>
        <v>3000</v>
      </c>
      <c r="L137" s="53">
        <f>+C155+C178</f>
        <v>2400</v>
      </c>
    </row>
    <row r="138" spans="1:15">
      <c r="E138" s="4" t="s">
        <v>725</v>
      </c>
      <c r="F138" s="51">
        <v>3000</v>
      </c>
      <c r="G138" s="80">
        <f>+G139-SUM(G135:G137)</f>
        <v>1350</v>
      </c>
      <c r="H138" s="4" t="s">
        <v>812</v>
      </c>
      <c r="K138" s="24"/>
      <c r="L138" s="22"/>
    </row>
    <row r="139" spans="1:15">
      <c r="E139" s="4" t="s">
        <v>726</v>
      </c>
      <c r="F139" s="4">
        <f>SUM(F135:F138)</f>
        <v>16720</v>
      </c>
      <c r="G139" s="4">
        <f>+G140-G133</f>
        <v>15470</v>
      </c>
      <c r="H139" s="4" t="s">
        <v>807</v>
      </c>
      <c r="K139" s="53" t="s">
        <v>809</v>
      </c>
      <c r="L139" s="24" t="s">
        <v>771</v>
      </c>
    </row>
    <row r="140" spans="1:15" ht="16.8" thickBot="1">
      <c r="B140" s="4" t="s">
        <v>728</v>
      </c>
      <c r="C140" s="57">
        <f>+C131+C136</f>
        <v>25000</v>
      </c>
      <c r="D140" s="57">
        <f>+D131+D136</f>
        <v>30820</v>
      </c>
      <c r="E140" s="4" t="s">
        <v>727</v>
      </c>
      <c r="F140" s="57">
        <f>+F133+F139</f>
        <v>25000</v>
      </c>
      <c r="G140" s="57">
        <f>+D140</f>
        <v>30820</v>
      </c>
      <c r="K140" s="23">
        <f>+D122</f>
        <v>750</v>
      </c>
      <c r="L140" s="198">
        <f>+K137+K140-L137</f>
        <v>1350</v>
      </c>
      <c r="M140" s="4" t="s">
        <v>813</v>
      </c>
    </row>
    <row r="141" spans="1:15" ht="16.8" thickTop="1"/>
    <row r="143" spans="1:15" ht="16.8" thickBot="1">
      <c r="A143" s="56" t="s">
        <v>818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</row>
    <row r="144" spans="1:15">
      <c r="A144" s="43" t="s">
        <v>819</v>
      </c>
    </row>
    <row r="145" spans="2:13">
      <c r="B145" s="63" t="s">
        <v>794</v>
      </c>
      <c r="C145" s="63" t="s">
        <v>814</v>
      </c>
      <c r="D145" s="63"/>
      <c r="E145" s="63"/>
      <c r="F145" s="63"/>
      <c r="G145" s="63"/>
      <c r="I145" s="4" t="s">
        <v>767</v>
      </c>
      <c r="L145" s="4" t="s">
        <v>772</v>
      </c>
    </row>
    <row r="146" spans="2:13">
      <c r="B146" s="63"/>
      <c r="C146" s="63" t="s">
        <v>779</v>
      </c>
      <c r="D146" s="63" t="s">
        <v>795</v>
      </c>
      <c r="E146" s="63" t="s">
        <v>796</v>
      </c>
      <c r="F146" s="63" t="s">
        <v>784</v>
      </c>
      <c r="G146" s="63" t="s">
        <v>797</v>
      </c>
      <c r="I146" s="26" t="s">
        <v>768</v>
      </c>
      <c r="J146" s="24" t="s">
        <v>770</v>
      </c>
      <c r="L146" s="24" t="s">
        <v>775</v>
      </c>
      <c r="M146" s="24" t="s">
        <v>773</v>
      </c>
    </row>
    <row r="147" spans="2:13" ht="16.8" thickBot="1">
      <c r="B147" s="63" t="s">
        <v>785</v>
      </c>
      <c r="C147" s="199">
        <v>7840</v>
      </c>
      <c r="D147" s="199">
        <v>7990</v>
      </c>
      <c r="E147" s="199">
        <v>6930</v>
      </c>
      <c r="F147" s="199">
        <v>6340</v>
      </c>
      <c r="G147" s="199">
        <f>+SUM(C147:F147)</f>
        <v>29100</v>
      </c>
      <c r="I147" s="54">
        <f>+C127</f>
        <v>3100</v>
      </c>
      <c r="J147" s="53">
        <f>+G147</f>
        <v>29100</v>
      </c>
      <c r="L147" s="53">
        <f>+G149</f>
        <v>10460</v>
      </c>
      <c r="M147" s="53">
        <f>+F126</f>
        <v>1280</v>
      </c>
    </row>
    <row r="148" spans="2:13" ht="16.8" thickTop="1">
      <c r="B148" s="63" t="s">
        <v>786</v>
      </c>
      <c r="C148" s="63"/>
      <c r="D148" s="63"/>
      <c r="E148" s="63"/>
      <c r="F148" s="63"/>
      <c r="G148" s="63"/>
      <c r="I148" s="25"/>
      <c r="J148" s="53"/>
      <c r="L148" s="53"/>
      <c r="M148" s="23"/>
    </row>
    <row r="149" spans="2:13">
      <c r="B149" s="63" t="s">
        <v>787</v>
      </c>
      <c r="C149" s="63">
        <v>2490</v>
      </c>
      <c r="D149" s="63">
        <v>2760</v>
      </c>
      <c r="E149" s="63">
        <v>2456</v>
      </c>
      <c r="F149" s="63">
        <v>2754</v>
      </c>
      <c r="G149" s="63">
        <f t="shared" ref="G149:G156" si="3">+SUM(C149:F149)</f>
        <v>10460</v>
      </c>
      <c r="I149" s="24"/>
      <c r="J149" s="22"/>
      <c r="L149" s="23"/>
      <c r="M149" s="24"/>
    </row>
    <row r="150" spans="2:13">
      <c r="B150" s="63" t="s">
        <v>788</v>
      </c>
      <c r="C150" s="63">
        <v>2524</v>
      </c>
      <c r="D150" s="63">
        <v>2870</v>
      </c>
      <c r="E150" s="63">
        <v>2464</v>
      </c>
      <c r="F150" s="63">
        <v>2270</v>
      </c>
      <c r="G150" s="63">
        <f t="shared" si="3"/>
        <v>10128</v>
      </c>
      <c r="I150" s="53" t="s">
        <v>769</v>
      </c>
      <c r="J150" s="24" t="s">
        <v>771</v>
      </c>
      <c r="L150" s="24" t="s">
        <v>776</v>
      </c>
      <c r="M150" s="53" t="s">
        <v>774</v>
      </c>
    </row>
    <row r="151" spans="2:13">
      <c r="B151" s="63" t="s">
        <v>789</v>
      </c>
      <c r="C151" s="63">
        <v>1486</v>
      </c>
      <c r="D151" s="63">
        <v>1850</v>
      </c>
      <c r="E151" s="63">
        <v>1680</v>
      </c>
      <c r="F151" s="63">
        <v>1476</v>
      </c>
      <c r="G151" s="63">
        <f t="shared" si="3"/>
        <v>6492</v>
      </c>
      <c r="I151" s="53">
        <f>+D114</f>
        <v>33600</v>
      </c>
      <c r="J151" s="53">
        <f>+I147+I151-J147</f>
        <v>7600</v>
      </c>
      <c r="L151" s="53">
        <f>+M151+M147-L147</f>
        <v>5820</v>
      </c>
      <c r="M151" s="53">
        <f>+I96*I103/10000</f>
        <v>15000</v>
      </c>
    </row>
    <row r="152" spans="2:13">
      <c r="B152" s="63" t="s">
        <v>790</v>
      </c>
      <c r="C152" s="63">
        <v>1000</v>
      </c>
      <c r="D152" s="63"/>
      <c r="E152" s="63"/>
      <c r="F152" s="63"/>
      <c r="G152" s="63">
        <f t="shared" si="3"/>
        <v>1000</v>
      </c>
      <c r="I152" s="23"/>
      <c r="J152" s="23"/>
      <c r="L152" s="23"/>
      <c r="M152" s="23"/>
    </row>
    <row r="153" spans="2:13">
      <c r="B153" s="63" t="s">
        <v>791</v>
      </c>
      <c r="C153" s="63"/>
      <c r="D153" s="63">
        <v>240</v>
      </c>
      <c r="E153" s="63"/>
      <c r="F153" s="63">
        <v>240</v>
      </c>
      <c r="G153" s="63">
        <f t="shared" si="3"/>
        <v>480</v>
      </c>
    </row>
    <row r="154" spans="2:13">
      <c r="B154" s="63" t="s">
        <v>792</v>
      </c>
      <c r="C154" s="63"/>
      <c r="D154" s="63"/>
      <c r="E154" s="63"/>
      <c r="F154" s="63">
        <v>1900</v>
      </c>
      <c r="G154" s="63">
        <f t="shared" si="3"/>
        <v>1900</v>
      </c>
    </row>
    <row r="155" spans="2:13">
      <c r="B155" s="63" t="s">
        <v>793</v>
      </c>
      <c r="C155" s="63">
        <v>2000</v>
      </c>
      <c r="D155" s="63"/>
      <c r="E155" s="63"/>
      <c r="F155" s="63"/>
      <c r="G155" s="63">
        <f t="shared" si="3"/>
        <v>2000</v>
      </c>
    </row>
    <row r="156" spans="2:13" ht="16.8" thickBot="1">
      <c r="B156" s="63"/>
      <c r="C156" s="200">
        <f>SUM(C149:C155)</f>
        <v>9500</v>
      </c>
      <c r="D156" s="200">
        <f t="shared" ref="D156:F156" si="4">SUM(D149:D155)</f>
        <v>7720</v>
      </c>
      <c r="E156" s="200">
        <f t="shared" si="4"/>
        <v>6600</v>
      </c>
      <c r="F156" s="200">
        <f t="shared" si="4"/>
        <v>8640</v>
      </c>
      <c r="G156" s="200">
        <f t="shared" si="3"/>
        <v>32460</v>
      </c>
    </row>
    <row r="157" spans="2:13" ht="16.8" thickTop="1"/>
    <row r="159" spans="2:13">
      <c r="B159" s="4" t="s">
        <v>802</v>
      </c>
    </row>
    <row r="160" spans="2:13">
      <c r="B160" s="4" t="s">
        <v>779</v>
      </c>
      <c r="C160" s="4" t="s">
        <v>780</v>
      </c>
      <c r="E160" s="4" t="s">
        <v>782</v>
      </c>
      <c r="H160" s="4" t="s">
        <v>783</v>
      </c>
      <c r="K160" s="4" t="s">
        <v>784</v>
      </c>
    </row>
    <row r="161" spans="2:12">
      <c r="B161" s="26" t="s">
        <v>773</v>
      </c>
      <c r="C161" s="24" t="s">
        <v>778</v>
      </c>
      <c r="E161" s="26" t="s">
        <v>773</v>
      </c>
      <c r="F161" s="24" t="s">
        <v>778</v>
      </c>
      <c r="H161" s="26" t="s">
        <v>773</v>
      </c>
      <c r="I161" s="24" t="s">
        <v>778</v>
      </c>
      <c r="K161" s="26" t="s">
        <v>773</v>
      </c>
      <c r="L161" s="24" t="s">
        <v>778</v>
      </c>
    </row>
    <row r="162" spans="2:12">
      <c r="B162" s="23">
        <f>+C126</f>
        <v>3000</v>
      </c>
      <c r="C162" s="53">
        <f>+C156</f>
        <v>9500</v>
      </c>
      <c r="E162" s="23">
        <f>+C171</f>
        <v>2340</v>
      </c>
      <c r="F162" s="53">
        <f>+D156</f>
        <v>7720</v>
      </c>
      <c r="H162" s="23">
        <f>+F171</f>
        <v>2610</v>
      </c>
      <c r="I162" s="53">
        <f>+E156</f>
        <v>6600</v>
      </c>
      <c r="K162" s="23">
        <f>+I171</f>
        <v>2940</v>
      </c>
      <c r="L162" s="53">
        <f>+F156</f>
        <v>8640</v>
      </c>
    </row>
    <row r="163" spans="2:12">
      <c r="B163" s="54" t="s">
        <v>777</v>
      </c>
      <c r="C163" s="53"/>
      <c r="E163" s="54" t="s">
        <v>777</v>
      </c>
      <c r="F163" s="53"/>
      <c r="H163" s="54" t="s">
        <v>777</v>
      </c>
      <c r="I163" s="53"/>
      <c r="K163" s="54" t="s">
        <v>777</v>
      </c>
      <c r="L163" s="53"/>
    </row>
    <row r="164" spans="2:12">
      <c r="B164" s="54" t="s">
        <v>781</v>
      </c>
      <c r="C164" s="53"/>
      <c r="E164" s="54" t="s">
        <v>781</v>
      </c>
      <c r="F164" s="53"/>
      <c r="H164" s="54" t="s">
        <v>781</v>
      </c>
      <c r="I164" s="53"/>
      <c r="K164" s="54" t="s">
        <v>781</v>
      </c>
      <c r="L164" s="53"/>
    </row>
    <row r="165" spans="2:12">
      <c r="B165" s="53">
        <f>+C147</f>
        <v>7840</v>
      </c>
      <c r="C165" s="23"/>
      <c r="E165" s="53">
        <f>+D147</f>
        <v>7990</v>
      </c>
      <c r="F165" s="23"/>
      <c r="H165" s="53">
        <f>+E147</f>
        <v>6930</v>
      </c>
      <c r="I165" s="23"/>
      <c r="K165" s="53">
        <f>+F147</f>
        <v>6340</v>
      </c>
      <c r="L165" s="23"/>
    </row>
    <row r="166" spans="2:12">
      <c r="B166" s="53"/>
      <c r="C166" s="53" t="s">
        <v>799</v>
      </c>
      <c r="E166" s="53"/>
      <c r="F166" s="53" t="s">
        <v>799</v>
      </c>
      <c r="H166" s="53"/>
      <c r="I166" s="53" t="s">
        <v>799</v>
      </c>
      <c r="K166" s="53"/>
      <c r="L166" s="53" t="s">
        <v>799</v>
      </c>
    </row>
    <row r="167" spans="2:12">
      <c r="B167" s="197"/>
      <c r="C167" s="197">
        <f>+B165+B162-C162</f>
        <v>1340</v>
      </c>
      <c r="E167" s="197"/>
      <c r="F167" s="197">
        <f>+E165+E162-F162</f>
        <v>2610</v>
      </c>
      <c r="H167" s="197"/>
      <c r="I167" s="197">
        <f>+H165+H162-I162</f>
        <v>2940</v>
      </c>
      <c r="K167" s="197"/>
      <c r="L167" s="197">
        <f>+K165+K162-L162</f>
        <v>640</v>
      </c>
    </row>
    <row r="168" spans="2:12">
      <c r="B168" s="53" t="s">
        <v>800</v>
      </c>
      <c r="C168" s="53"/>
      <c r="E168" s="53" t="s">
        <v>800</v>
      </c>
      <c r="F168" s="53"/>
      <c r="H168" s="53" t="s">
        <v>800</v>
      </c>
      <c r="I168" s="53"/>
      <c r="K168" s="53" t="s">
        <v>800</v>
      </c>
      <c r="L168" s="53"/>
    </row>
    <row r="169" spans="2:12">
      <c r="B169" s="23">
        <v>1000</v>
      </c>
      <c r="C169" s="23"/>
      <c r="E169" s="23"/>
      <c r="F169" s="23"/>
      <c r="H169" s="23"/>
      <c r="I169" s="23"/>
      <c r="K169" s="23">
        <v>3000</v>
      </c>
      <c r="L169" s="23">
        <v>1040</v>
      </c>
    </row>
    <row r="171" spans="2:12">
      <c r="B171" s="4" t="s">
        <v>801</v>
      </c>
      <c r="C171" s="4">
        <f>+B169+C167</f>
        <v>2340</v>
      </c>
      <c r="F171" s="4">
        <f>+E169+F167</f>
        <v>2610</v>
      </c>
      <c r="I171" s="4">
        <f>+H169+I167</f>
        <v>2940</v>
      </c>
      <c r="L171" s="165">
        <f>+K169+L167-L169</f>
        <v>2600</v>
      </c>
    </row>
    <row r="174" spans="2:12">
      <c r="B174" s="4" t="s">
        <v>804</v>
      </c>
      <c r="C174" s="161">
        <v>0.04</v>
      </c>
    </row>
    <row r="175" spans="2:12">
      <c r="B175" s="4" t="s">
        <v>803</v>
      </c>
      <c r="C175" s="4">
        <f>+(B169+K169/4)*C174</f>
        <v>70</v>
      </c>
    </row>
    <row r="176" spans="2:12">
      <c r="B176" s="4" t="s">
        <v>806</v>
      </c>
      <c r="C176" s="4">
        <f>+K169*C174/4</f>
        <v>30</v>
      </c>
    </row>
    <row r="177" spans="1:17">
      <c r="B177" s="4" t="s">
        <v>805</v>
      </c>
      <c r="C177" s="4">
        <f>+D121</f>
        <v>500</v>
      </c>
    </row>
    <row r="178" spans="1:17">
      <c r="B178" s="4" t="s">
        <v>811</v>
      </c>
      <c r="C178" s="4">
        <v>400</v>
      </c>
    </row>
    <row r="181" spans="1:17" ht="18" customHeight="1">
      <c r="A181" s="13" t="s">
        <v>820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/>
    </row>
    <row r="182" spans="1:17">
      <c r="A182" s="16"/>
      <c r="B182" s="17"/>
      <c r="C182" s="17" t="s">
        <v>860</v>
      </c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8"/>
    </row>
    <row r="183" spans="1:17">
      <c r="A183" s="1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8"/>
    </row>
    <row r="184" spans="1:17">
      <c r="A184" s="19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1"/>
    </row>
    <row r="186" spans="1:17">
      <c r="B186" s="4" t="s">
        <v>206</v>
      </c>
    </row>
    <row r="187" spans="1:17">
      <c r="B187" s="4" t="s">
        <v>733</v>
      </c>
      <c r="C187" s="4" t="s">
        <v>176</v>
      </c>
      <c r="D187" s="4" t="s">
        <v>739</v>
      </c>
      <c r="H187" s="4" t="s">
        <v>249</v>
      </c>
      <c r="I187" s="4" t="s">
        <v>755</v>
      </c>
      <c r="K187" s="4" t="s">
        <v>871</v>
      </c>
      <c r="N187" s="4" t="s">
        <v>891</v>
      </c>
      <c r="P187" s="4" t="s">
        <v>896</v>
      </c>
    </row>
    <row r="188" spans="1:17">
      <c r="B188" s="4" t="s">
        <v>744</v>
      </c>
      <c r="E188" s="4">
        <v>1110</v>
      </c>
      <c r="G188" s="4" t="s">
        <v>861</v>
      </c>
      <c r="I188" s="4">
        <v>12</v>
      </c>
      <c r="K188" s="4" t="s">
        <v>863</v>
      </c>
      <c r="L188" s="4">
        <v>67200</v>
      </c>
      <c r="N188" s="4" t="s">
        <v>863</v>
      </c>
      <c r="O188" s="4">
        <v>33998400</v>
      </c>
      <c r="P188" s="4">
        <v>12960000</v>
      </c>
    </row>
    <row r="189" spans="1:17">
      <c r="G189" s="4" t="s">
        <v>243</v>
      </c>
      <c r="K189" s="4" t="s">
        <v>868</v>
      </c>
      <c r="L189" s="4">
        <v>64000</v>
      </c>
      <c r="N189" s="4" t="s">
        <v>868</v>
      </c>
      <c r="O189" s="4">
        <v>20784000</v>
      </c>
    </row>
    <row r="190" spans="1:17">
      <c r="B190" s="4" t="s">
        <v>260</v>
      </c>
      <c r="C190" s="4">
        <v>125</v>
      </c>
      <c r="D190" s="4">
        <v>6</v>
      </c>
      <c r="E190" s="4">
        <f>+C190*D190</f>
        <v>750</v>
      </c>
      <c r="G190" s="4" t="s">
        <v>752</v>
      </c>
      <c r="H190" s="4">
        <v>1200000</v>
      </c>
      <c r="I190" s="4">
        <v>240000</v>
      </c>
      <c r="K190" s="4" t="s">
        <v>869</v>
      </c>
      <c r="L190" s="4">
        <v>72000</v>
      </c>
    </row>
    <row r="191" spans="1:17">
      <c r="B191" s="4" t="s">
        <v>168</v>
      </c>
      <c r="C191" s="4">
        <v>375</v>
      </c>
      <c r="D191" s="195">
        <v>0.6</v>
      </c>
      <c r="E191" s="4">
        <f>+C191*D191</f>
        <v>225</v>
      </c>
      <c r="G191" s="4" t="s">
        <v>753</v>
      </c>
      <c r="H191" s="4">
        <f>5400000-H190</f>
        <v>4200000</v>
      </c>
      <c r="I191" s="4">
        <f>1296000-I190</f>
        <v>1056000</v>
      </c>
      <c r="K191" s="4" t="s">
        <v>872</v>
      </c>
      <c r="L191" s="4">
        <v>59200</v>
      </c>
      <c r="N191" s="4" t="s">
        <v>892</v>
      </c>
    </row>
    <row r="192" spans="1:17" ht="16.8" thickBot="1">
      <c r="E192" s="57">
        <f>+SUM(E190:E191)</f>
        <v>975</v>
      </c>
      <c r="O192" s="4">
        <v>6000000</v>
      </c>
    </row>
    <row r="193" spans="2:15" ht="16.8" thickTop="1">
      <c r="G193" s="4" t="s">
        <v>761</v>
      </c>
      <c r="H193" s="4">
        <v>300000</v>
      </c>
    </row>
    <row r="194" spans="2:15">
      <c r="N194" s="4" t="s">
        <v>895</v>
      </c>
      <c r="O194" s="161">
        <v>0.01</v>
      </c>
    </row>
    <row r="195" spans="2:15">
      <c r="B195" s="4" t="s">
        <v>873</v>
      </c>
      <c r="C195" s="4" t="s">
        <v>874</v>
      </c>
    </row>
    <row r="196" spans="2:15">
      <c r="B196" s="4" t="s">
        <v>863</v>
      </c>
      <c r="E196" s="4" t="s">
        <v>868</v>
      </c>
      <c r="H196" s="4" t="s">
        <v>869</v>
      </c>
    </row>
    <row r="197" spans="2:15">
      <c r="B197" s="26" t="s">
        <v>864</v>
      </c>
      <c r="C197" s="24" t="s">
        <v>876</v>
      </c>
      <c r="E197" s="26" t="s">
        <v>864</v>
      </c>
      <c r="F197" s="24" t="s">
        <v>876</v>
      </c>
      <c r="H197" s="26" t="s">
        <v>864</v>
      </c>
      <c r="I197" s="24" t="s">
        <v>876</v>
      </c>
    </row>
    <row r="198" spans="2:15">
      <c r="B198" s="54">
        <f>+C239/C190</f>
        <v>79872</v>
      </c>
      <c r="C198" s="53">
        <f>+B212*D190</f>
        <v>399360</v>
      </c>
      <c r="E198" s="54">
        <f>+F198*0.2</f>
        <v>78720</v>
      </c>
      <c r="F198" s="53">
        <f>+E212*D190</f>
        <v>393600</v>
      </c>
      <c r="H198" s="54">
        <f>+I198*0.2</f>
        <v>83328</v>
      </c>
      <c r="I198" s="53">
        <f>+H212*D190</f>
        <v>416640</v>
      </c>
    </row>
    <row r="199" spans="2:15">
      <c r="B199" s="25"/>
      <c r="C199" s="53"/>
      <c r="E199" s="25"/>
      <c r="F199" s="53"/>
      <c r="H199" s="25"/>
      <c r="I199" s="53"/>
    </row>
    <row r="200" spans="2:15">
      <c r="B200" s="24"/>
      <c r="C200" s="22"/>
      <c r="E200" s="24"/>
      <c r="F200" s="22"/>
      <c r="H200" s="24"/>
      <c r="I200" s="22"/>
    </row>
    <row r="201" spans="2:15">
      <c r="B201" s="53" t="s">
        <v>875</v>
      </c>
      <c r="C201" s="24" t="s">
        <v>866</v>
      </c>
      <c r="E201" s="53" t="s">
        <v>875</v>
      </c>
      <c r="F201" s="24" t="s">
        <v>866</v>
      </c>
      <c r="H201" s="53"/>
      <c r="I201" s="24"/>
    </row>
    <row r="202" spans="2:15">
      <c r="B202" s="53">
        <f>+C202+C198-B198</f>
        <v>398208</v>
      </c>
      <c r="C202" s="53">
        <f>+E198</f>
        <v>78720</v>
      </c>
      <c r="E202" s="53">
        <f>+F202+F198-E198</f>
        <v>398208</v>
      </c>
      <c r="F202" s="53">
        <f>+H198</f>
        <v>83328</v>
      </c>
      <c r="H202" s="53"/>
      <c r="I202" s="53"/>
    </row>
    <row r="203" spans="2:15">
      <c r="B203" s="23"/>
      <c r="C203" s="23"/>
      <c r="E203" s="23"/>
      <c r="F203" s="23"/>
      <c r="H203" s="23"/>
      <c r="I203" s="23"/>
    </row>
    <row r="205" spans="2:15">
      <c r="B205" s="4" t="s">
        <v>862</v>
      </c>
      <c r="C205" s="4" t="s">
        <v>870</v>
      </c>
    </row>
    <row r="206" spans="2:15">
      <c r="B206" s="4" t="s">
        <v>863</v>
      </c>
      <c r="E206" s="4" t="s">
        <v>868</v>
      </c>
      <c r="H206" s="4" t="s">
        <v>869</v>
      </c>
      <c r="K206" s="4" t="s">
        <v>869</v>
      </c>
    </row>
    <row r="207" spans="2:15">
      <c r="B207" s="26" t="s">
        <v>864</v>
      </c>
      <c r="C207" s="24" t="s">
        <v>867</v>
      </c>
      <c r="E207" s="26" t="s">
        <v>864</v>
      </c>
      <c r="F207" s="24" t="s">
        <v>867</v>
      </c>
      <c r="H207" s="26" t="s">
        <v>864</v>
      </c>
      <c r="I207" s="24" t="s">
        <v>867</v>
      </c>
      <c r="K207" s="26"/>
      <c r="L207" s="24" t="s">
        <v>867</v>
      </c>
    </row>
    <row r="208" spans="2:15">
      <c r="B208" s="54">
        <f>+C238/E192</f>
        <v>13440</v>
      </c>
      <c r="C208" s="53">
        <f>+L188</f>
        <v>67200</v>
      </c>
      <c r="E208" s="54">
        <f>+F208*0.2</f>
        <v>12800</v>
      </c>
      <c r="F208" s="53">
        <f>+L189</f>
        <v>64000</v>
      </c>
      <c r="H208" s="54">
        <f>+I208*0.2</f>
        <v>14400</v>
      </c>
      <c r="I208" s="53">
        <f>+L190</f>
        <v>72000</v>
      </c>
      <c r="K208" s="54">
        <f>+L208*0.2</f>
        <v>11840</v>
      </c>
      <c r="L208" s="53">
        <f>+L191</f>
        <v>59200</v>
      </c>
    </row>
    <row r="209" spans="1:15">
      <c r="B209" s="25"/>
      <c r="C209" s="53"/>
      <c r="E209" s="25"/>
      <c r="F209" s="53"/>
      <c r="H209" s="25"/>
      <c r="I209" s="53"/>
      <c r="K209" s="25"/>
      <c r="L209" s="53"/>
    </row>
    <row r="210" spans="1:15">
      <c r="B210" s="24"/>
      <c r="C210" s="22"/>
      <c r="E210" s="24"/>
      <c r="F210" s="22"/>
      <c r="H210" s="24"/>
      <c r="I210" s="22"/>
      <c r="K210" s="24"/>
      <c r="L210" s="22"/>
    </row>
    <row r="211" spans="1:15">
      <c r="B211" s="53" t="s">
        <v>865</v>
      </c>
      <c r="C211" s="24" t="s">
        <v>866</v>
      </c>
      <c r="E211" s="53" t="s">
        <v>865</v>
      </c>
      <c r="F211" s="24" t="s">
        <v>866</v>
      </c>
      <c r="H211" s="53" t="s">
        <v>865</v>
      </c>
      <c r="I211" s="24" t="s">
        <v>866</v>
      </c>
      <c r="K211" s="53"/>
      <c r="L211" s="24"/>
    </row>
    <row r="212" spans="1:15">
      <c r="B212" s="53">
        <f>+C212+C208-B208</f>
        <v>66560</v>
      </c>
      <c r="C212" s="53">
        <f>+E208</f>
        <v>12800</v>
      </c>
      <c r="E212" s="53">
        <f>+F212+F208-E208</f>
        <v>65600</v>
      </c>
      <c r="F212" s="53">
        <f>+H208</f>
        <v>14400</v>
      </c>
      <c r="H212" s="53">
        <f>+I212+I208-H208</f>
        <v>69440</v>
      </c>
      <c r="I212" s="53">
        <f>+K208</f>
        <v>11840</v>
      </c>
      <c r="K212" s="53"/>
      <c r="L212" s="53"/>
    </row>
    <row r="213" spans="1:15">
      <c r="B213" s="23"/>
      <c r="C213" s="23"/>
      <c r="E213" s="23"/>
      <c r="F213" s="23"/>
      <c r="H213" s="23"/>
      <c r="I213" s="23"/>
      <c r="K213" s="23"/>
      <c r="L213" s="23"/>
    </row>
    <row r="215" spans="1:15" ht="17.399999999999999" customHeight="1" thickBot="1">
      <c r="A215" s="56" t="s">
        <v>817</v>
      </c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</row>
    <row r="218" spans="1:15">
      <c r="B218" s="4" t="s">
        <v>836</v>
      </c>
    </row>
    <row r="219" spans="1:15">
      <c r="D219" s="4" t="s">
        <v>833</v>
      </c>
      <c r="E219" s="4" t="s">
        <v>834</v>
      </c>
    </row>
    <row r="220" spans="1:15">
      <c r="B220" s="4" t="s">
        <v>821</v>
      </c>
      <c r="D220" s="4">
        <f>+C208*E188</f>
        <v>74592000</v>
      </c>
      <c r="E220" s="4">
        <f>+F208*E188</f>
        <v>71040000</v>
      </c>
    </row>
    <row r="221" spans="1:15">
      <c r="B221" s="4" t="s">
        <v>822</v>
      </c>
      <c r="D221" s="51">
        <f>+C208*E192</f>
        <v>65520000</v>
      </c>
      <c r="E221" s="51">
        <f>+F208*E192</f>
        <v>62400000</v>
      </c>
    </row>
    <row r="222" spans="1:15">
      <c r="B222" s="4" t="s">
        <v>823</v>
      </c>
      <c r="D222" s="4">
        <f>+D220-D221</f>
        <v>9072000</v>
      </c>
      <c r="E222" s="4">
        <f>+E220-E221</f>
        <v>8640000</v>
      </c>
    </row>
    <row r="223" spans="1:15">
      <c r="B223" s="4" t="s">
        <v>824</v>
      </c>
      <c r="D223" s="51">
        <f>+C208*I188</f>
        <v>806400</v>
      </c>
      <c r="E223" s="51">
        <f>+F208*I188</f>
        <v>768000</v>
      </c>
    </row>
    <row r="224" spans="1:15">
      <c r="B224" s="4" t="s">
        <v>825</v>
      </c>
      <c r="D224" s="4">
        <f>+D222-D223</f>
        <v>8265600</v>
      </c>
      <c r="E224" s="4">
        <f>+E222-E223</f>
        <v>7872000</v>
      </c>
    </row>
    <row r="225" spans="2:9">
      <c r="B225" s="4" t="s">
        <v>826</v>
      </c>
    </row>
    <row r="226" spans="2:9">
      <c r="B226" s="4" t="s">
        <v>827</v>
      </c>
      <c r="D226" s="4">
        <f>+SUM(H190:H191)</f>
        <v>5400000</v>
      </c>
      <c r="E226" s="4">
        <f>+D226</f>
        <v>5400000</v>
      </c>
    </row>
    <row r="227" spans="2:9">
      <c r="B227" s="4" t="s">
        <v>828</v>
      </c>
      <c r="D227" s="4">
        <f>+SUM(I190:I191)</f>
        <v>1296000</v>
      </c>
      <c r="E227" s="4">
        <f>+D227</f>
        <v>1296000</v>
      </c>
    </row>
    <row r="228" spans="2:9">
      <c r="B228" s="4" t="s">
        <v>829</v>
      </c>
      <c r="D228" s="42">
        <f>+SUM(D226:D227)</f>
        <v>6696000</v>
      </c>
      <c r="E228" s="42">
        <f>+SUM(E226:E227)</f>
        <v>6696000</v>
      </c>
    </row>
    <row r="229" spans="2:9">
      <c r="B229" s="4" t="s">
        <v>830</v>
      </c>
      <c r="D229" s="4">
        <f>+D224-D228</f>
        <v>1569600</v>
      </c>
      <c r="E229" s="4">
        <f>+E224-E228</f>
        <v>1176000</v>
      </c>
    </row>
    <row r="230" spans="2:9">
      <c r="B230" s="4" t="s">
        <v>831</v>
      </c>
      <c r="E230" s="4">
        <f>+N265</f>
        <v>63360</v>
      </c>
    </row>
    <row r="231" spans="2:9" ht="16.8" thickBot="1">
      <c r="B231" s="4" t="s">
        <v>832</v>
      </c>
      <c r="D231" s="57">
        <f>+D229-D230</f>
        <v>1569600</v>
      </c>
      <c r="E231" s="57">
        <f>+E229-E230</f>
        <v>1112640</v>
      </c>
    </row>
    <row r="232" spans="2:9" ht="16.8" thickTop="1"/>
    <row r="233" spans="2:9">
      <c r="B233" s="4" t="s">
        <v>835</v>
      </c>
    </row>
    <row r="234" spans="2:9">
      <c r="C234" s="4" t="s">
        <v>859</v>
      </c>
      <c r="D234" s="4" t="s">
        <v>833</v>
      </c>
      <c r="E234" s="4" t="s">
        <v>834</v>
      </c>
      <c r="G234" s="4" t="s">
        <v>859</v>
      </c>
      <c r="H234" s="4" t="s">
        <v>833</v>
      </c>
      <c r="I234" s="4" t="s">
        <v>834</v>
      </c>
    </row>
    <row r="235" spans="2:9">
      <c r="B235" s="4" t="s">
        <v>837</v>
      </c>
      <c r="F235" s="4" t="s">
        <v>848</v>
      </c>
    </row>
    <row r="236" spans="2:9">
      <c r="B236" s="4" t="s">
        <v>838</v>
      </c>
      <c r="C236" s="4">
        <v>6000000</v>
      </c>
      <c r="D236" s="4">
        <f>+O192</f>
        <v>6000000</v>
      </c>
      <c r="E236" s="4">
        <f>+O192</f>
        <v>6000000</v>
      </c>
      <c r="F236" s="4" t="s">
        <v>849</v>
      </c>
      <c r="G236" s="4">
        <v>26304000</v>
      </c>
      <c r="H236" s="4">
        <f>+E258</f>
        <v>24888000</v>
      </c>
      <c r="I236" s="4">
        <f>+E267</f>
        <v>24888000</v>
      </c>
    </row>
    <row r="237" spans="2:9">
      <c r="B237" s="4" t="s">
        <v>839</v>
      </c>
      <c r="C237" s="4">
        <v>63936000</v>
      </c>
      <c r="D237" s="4">
        <f>+C258</f>
        <v>59673600</v>
      </c>
      <c r="E237" s="4">
        <f>+C267</f>
        <v>56832000</v>
      </c>
      <c r="F237" s="4" t="s">
        <v>850</v>
      </c>
      <c r="G237" s="4">
        <v>0</v>
      </c>
      <c r="H237" s="4">
        <f>+H258</f>
        <v>6336000</v>
      </c>
      <c r="I237" s="4">
        <f>+H267</f>
        <v>3077760</v>
      </c>
    </row>
    <row r="238" spans="2:9">
      <c r="B238" s="4" t="s">
        <v>840</v>
      </c>
      <c r="C238" s="4">
        <v>13104000</v>
      </c>
      <c r="D238" s="4">
        <f>+C212*E192</f>
        <v>12480000</v>
      </c>
      <c r="E238" s="4">
        <f>+F212*E192</f>
        <v>14040000</v>
      </c>
      <c r="F238" s="4" t="s">
        <v>851</v>
      </c>
      <c r="G238" s="42">
        <f>+SUM(G236:G237)</f>
        <v>26304000</v>
      </c>
      <c r="H238" s="42">
        <f t="shared" ref="H238:I238" si="5">+SUM(H236:H237)</f>
        <v>31224000</v>
      </c>
      <c r="I238" s="42">
        <f t="shared" si="5"/>
        <v>27965760</v>
      </c>
    </row>
    <row r="239" spans="2:9">
      <c r="B239" s="4" t="s">
        <v>841</v>
      </c>
      <c r="C239" s="27">
        <v>9984000</v>
      </c>
      <c r="D239" s="27">
        <f>+C202*C190</f>
        <v>9840000</v>
      </c>
      <c r="E239" s="27">
        <f>+F202*C190</f>
        <v>10416000</v>
      </c>
      <c r="F239" s="4" t="s">
        <v>852</v>
      </c>
      <c r="G239" s="42">
        <v>0</v>
      </c>
      <c r="H239" s="42">
        <v>0</v>
      </c>
      <c r="I239" s="42">
        <v>0</v>
      </c>
    </row>
    <row r="240" spans="2:9">
      <c r="B240" s="4" t="s">
        <v>842</v>
      </c>
      <c r="C240" s="51">
        <f>SUM(C236:C239)</f>
        <v>93024000</v>
      </c>
      <c r="D240" s="51">
        <f t="shared" ref="D240:E240" si="6">SUM(D236:D239)</f>
        <v>87993600</v>
      </c>
      <c r="E240" s="51">
        <f t="shared" si="6"/>
        <v>87288000</v>
      </c>
      <c r="F240" s="4" t="s">
        <v>853</v>
      </c>
    </row>
    <row r="241" spans="1:15">
      <c r="B241" s="4" t="s">
        <v>843</v>
      </c>
      <c r="F241" s="4" t="s">
        <v>854</v>
      </c>
      <c r="G241" s="4">
        <v>192000000</v>
      </c>
      <c r="H241" s="4">
        <f>+G241</f>
        <v>192000000</v>
      </c>
      <c r="I241" s="4">
        <f>+H241</f>
        <v>192000000</v>
      </c>
      <c r="L241" s="4" t="s">
        <v>898</v>
      </c>
    </row>
    <row r="242" spans="1:15">
      <c r="B242" s="4" t="s">
        <v>844</v>
      </c>
      <c r="C242" s="4">
        <v>86976000</v>
      </c>
      <c r="D242" s="4">
        <f>+C242</f>
        <v>86976000</v>
      </c>
      <c r="E242" s="4">
        <f>+D242</f>
        <v>86976000</v>
      </c>
      <c r="F242" s="4" t="s">
        <v>855</v>
      </c>
      <c r="G242" s="4">
        <v>48000000</v>
      </c>
      <c r="H242" s="4">
        <f>+G242</f>
        <v>48000000</v>
      </c>
      <c r="I242" s="4">
        <f>+H242</f>
        <v>48000000</v>
      </c>
      <c r="L242" s="4" t="s">
        <v>863</v>
      </c>
      <c r="M242" s="4" t="s">
        <v>868</v>
      </c>
    </row>
    <row r="243" spans="1:15">
      <c r="B243" s="4" t="s">
        <v>845</v>
      </c>
      <c r="C243" s="51">
        <v>120000000</v>
      </c>
      <c r="D243" s="51">
        <f>+C243+P188-SUM(H190:I190)</f>
        <v>131520000</v>
      </c>
      <c r="E243" s="51">
        <f>+D243-SUM(H190:I190)</f>
        <v>130080000</v>
      </c>
      <c r="F243" s="4" t="s">
        <v>856</v>
      </c>
      <c r="G243" s="51">
        <v>33696000</v>
      </c>
      <c r="H243" s="201">
        <f>+H244-SUM(H241:H242)</f>
        <v>35265600</v>
      </c>
      <c r="I243" s="201">
        <f>+I244-SUM(I241:I242)</f>
        <v>36378240</v>
      </c>
      <c r="J243" s="4" t="s">
        <v>897</v>
      </c>
      <c r="L243" s="165">
        <f>+G243+D231</f>
        <v>35265600</v>
      </c>
      <c r="M243" s="165">
        <f>+L243+E231</f>
        <v>36378240</v>
      </c>
      <c r="N243" s="165" t="s">
        <v>899</v>
      </c>
    </row>
    <row r="244" spans="1:15">
      <c r="B244" s="4" t="s">
        <v>846</v>
      </c>
      <c r="C244" s="4">
        <f>SUM(C242:C243)</f>
        <v>206976000</v>
      </c>
      <c r="D244" s="4">
        <f t="shared" ref="D244:E244" si="7">SUM(D242:D243)</f>
        <v>218496000</v>
      </c>
      <c r="E244" s="4">
        <f t="shared" si="7"/>
        <v>217056000</v>
      </c>
      <c r="F244" s="4" t="s">
        <v>857</v>
      </c>
      <c r="G244" s="42">
        <f>+SUM(G241:G243)</f>
        <v>273696000</v>
      </c>
      <c r="H244" s="42">
        <f>+H245-SUM(H238:H239)</f>
        <v>275265600</v>
      </c>
      <c r="I244" s="42">
        <f>+I245-SUM(I238:I239)</f>
        <v>276378240</v>
      </c>
    </row>
    <row r="245" spans="1:15" ht="16.8" thickBot="1">
      <c r="B245" s="4" t="s">
        <v>847</v>
      </c>
      <c r="C245" s="57">
        <f>+C240+C244</f>
        <v>300000000</v>
      </c>
      <c r="D245" s="57">
        <f t="shared" ref="D245:E245" si="8">+D240+D244</f>
        <v>306489600</v>
      </c>
      <c r="E245" s="57">
        <f t="shared" si="8"/>
        <v>304344000</v>
      </c>
      <c r="F245" s="4" t="s">
        <v>858</v>
      </c>
      <c r="G245" s="57">
        <f>+G238+G244</f>
        <v>300000000</v>
      </c>
      <c r="H245" s="57">
        <f>+D245</f>
        <v>306489600</v>
      </c>
      <c r="I245" s="57">
        <f>+E245</f>
        <v>304344000</v>
      </c>
    </row>
    <row r="246" spans="1:15" ht="16.8" thickTop="1"/>
    <row r="247" spans="1:15" ht="16.8" thickBot="1">
      <c r="A247" s="56" t="s">
        <v>818</v>
      </c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</row>
    <row r="248" spans="1:15">
      <c r="A248" s="43" t="s">
        <v>877</v>
      </c>
    </row>
    <row r="251" spans="1:15">
      <c r="B251" s="4" t="s">
        <v>878</v>
      </c>
      <c r="E251" s="4" t="s">
        <v>881</v>
      </c>
      <c r="H251" s="4" t="s">
        <v>885</v>
      </c>
      <c r="K251" s="4" t="s">
        <v>882</v>
      </c>
    </row>
    <row r="252" spans="1:15">
      <c r="K252" s="51"/>
      <c r="L252" s="51"/>
      <c r="M252" s="51"/>
      <c r="N252" s="51"/>
    </row>
    <row r="253" spans="1:15">
      <c r="A253" s="4" t="s">
        <v>863</v>
      </c>
      <c r="B253" s="26" t="s">
        <v>864</v>
      </c>
      <c r="C253" s="24" t="s">
        <v>880</v>
      </c>
      <c r="E253" s="24" t="s">
        <v>880</v>
      </c>
      <c r="F253" s="24" t="s">
        <v>864</v>
      </c>
      <c r="H253" s="24" t="s">
        <v>894</v>
      </c>
      <c r="I253" s="24" t="s">
        <v>864</v>
      </c>
      <c r="K253" s="4" t="s">
        <v>864</v>
      </c>
      <c r="L253" s="4">
        <f>+C236</f>
        <v>6000000</v>
      </c>
      <c r="M253" s="26" t="s">
        <v>886</v>
      </c>
      <c r="N253" s="4">
        <f>+B202*C190-F258</f>
        <v>24888000</v>
      </c>
    </row>
    <row r="254" spans="1:15">
      <c r="B254" s="54">
        <f>+C237</f>
        <v>63936000</v>
      </c>
      <c r="C254" s="53">
        <f>+B254</f>
        <v>63936000</v>
      </c>
      <c r="E254" s="53">
        <f>+F254</f>
        <v>26304000</v>
      </c>
      <c r="F254" s="53">
        <f>+G236</f>
        <v>26304000</v>
      </c>
      <c r="H254" s="53">
        <f>+I254</f>
        <v>0</v>
      </c>
      <c r="I254" s="53">
        <f>+J236</f>
        <v>0</v>
      </c>
      <c r="K254" s="4" t="s">
        <v>883</v>
      </c>
      <c r="L254" s="4">
        <f>+D220-B258</f>
        <v>14918400</v>
      </c>
      <c r="M254" s="54" t="s">
        <v>887</v>
      </c>
      <c r="N254" s="4">
        <f>+E254</f>
        <v>26304000</v>
      </c>
    </row>
    <row r="255" spans="1:15">
      <c r="B255" s="25"/>
      <c r="C255" s="53"/>
      <c r="E255" s="53"/>
      <c r="F255" s="23"/>
      <c r="H255" s="53"/>
      <c r="I255" s="23"/>
      <c r="K255" s="4" t="s">
        <v>884</v>
      </c>
      <c r="L255" s="4">
        <f>+C254</f>
        <v>63936000</v>
      </c>
      <c r="M255" s="54" t="s">
        <v>888</v>
      </c>
      <c r="N255" s="4">
        <f>+O188</f>
        <v>33998400</v>
      </c>
    </row>
    <row r="256" spans="1:15">
      <c r="B256" s="24"/>
      <c r="C256" s="22"/>
      <c r="E256" s="23"/>
      <c r="F256" s="24"/>
      <c r="H256" s="23"/>
      <c r="I256" s="24"/>
      <c r="K256" s="4" t="s">
        <v>885</v>
      </c>
      <c r="L256" s="165">
        <f>+SUM(N253:N258)-SUM(L253:L255)</f>
        <v>6336000</v>
      </c>
      <c r="M256" s="54" t="s">
        <v>889</v>
      </c>
      <c r="N256" s="4">
        <v>0</v>
      </c>
    </row>
    <row r="257" spans="1:14">
      <c r="B257" s="53" t="s">
        <v>879</v>
      </c>
      <c r="C257" s="24" t="s">
        <v>866</v>
      </c>
      <c r="E257" s="24" t="s">
        <v>866</v>
      </c>
      <c r="F257" s="53" t="s">
        <v>879</v>
      </c>
      <c r="H257" s="24" t="s">
        <v>866</v>
      </c>
      <c r="I257" s="53" t="s">
        <v>893</v>
      </c>
      <c r="M257" s="54" t="s">
        <v>890</v>
      </c>
      <c r="N257" s="4">
        <v>0</v>
      </c>
    </row>
    <row r="258" spans="1:14">
      <c r="B258" s="53">
        <f>+D220*0.8</f>
        <v>59673600</v>
      </c>
      <c r="C258" s="53">
        <f>+B258+B254-C254</f>
        <v>59673600</v>
      </c>
      <c r="E258" s="53">
        <f>+F258</f>
        <v>24888000</v>
      </c>
      <c r="F258" s="53">
        <f>+B202*C190*0.5</f>
        <v>24888000</v>
      </c>
      <c r="H258" s="53">
        <f>+I258</f>
        <v>6336000</v>
      </c>
      <c r="I258" s="53">
        <f>+L256</f>
        <v>6336000</v>
      </c>
      <c r="M258" s="54" t="s">
        <v>866</v>
      </c>
      <c r="N258" s="4">
        <f>+O192</f>
        <v>6000000</v>
      </c>
    </row>
    <row r="259" spans="1:14">
      <c r="B259" s="23"/>
      <c r="C259" s="23"/>
      <c r="E259" s="23"/>
      <c r="F259" s="23"/>
      <c r="H259" s="23"/>
      <c r="I259" s="23"/>
    </row>
    <row r="261" spans="1:14">
      <c r="K261" s="51"/>
      <c r="L261" s="51"/>
      <c r="M261" s="51"/>
      <c r="N261" s="51"/>
    </row>
    <row r="262" spans="1:14">
      <c r="A262" s="4" t="s">
        <v>868</v>
      </c>
      <c r="B262" s="26" t="s">
        <v>864</v>
      </c>
      <c r="C262" s="24" t="s">
        <v>880</v>
      </c>
      <c r="E262" s="24" t="s">
        <v>880</v>
      </c>
      <c r="F262" s="24" t="s">
        <v>864</v>
      </c>
      <c r="H262" s="24" t="s">
        <v>894</v>
      </c>
      <c r="I262" s="24" t="s">
        <v>864</v>
      </c>
      <c r="K262" s="4" t="s">
        <v>864</v>
      </c>
      <c r="L262" s="4">
        <f>+E236</f>
        <v>6000000</v>
      </c>
      <c r="M262" s="54" t="s">
        <v>886</v>
      </c>
      <c r="N262" s="4">
        <f>+E202*C190-F267</f>
        <v>24888000</v>
      </c>
    </row>
    <row r="263" spans="1:14">
      <c r="B263" s="54">
        <f>+C258</f>
        <v>59673600</v>
      </c>
      <c r="C263" s="53">
        <f>+B263</f>
        <v>59673600</v>
      </c>
      <c r="E263" s="53">
        <f>+F263</f>
        <v>24888000</v>
      </c>
      <c r="F263" s="53">
        <f>+E258</f>
        <v>24888000</v>
      </c>
      <c r="H263" s="53">
        <f>+N266</f>
        <v>3258240</v>
      </c>
      <c r="I263" s="53">
        <f>+H258</f>
        <v>6336000</v>
      </c>
      <c r="K263" s="4" t="s">
        <v>883</v>
      </c>
      <c r="L263" s="4">
        <f>+E220-B267</f>
        <v>14208000</v>
      </c>
      <c r="M263" s="54" t="s">
        <v>887</v>
      </c>
      <c r="N263" s="4">
        <f>+E263</f>
        <v>24888000</v>
      </c>
    </row>
    <row r="264" spans="1:14">
      <c r="B264" s="25"/>
      <c r="C264" s="53"/>
      <c r="E264" s="53"/>
      <c r="F264" s="23"/>
      <c r="H264" s="53"/>
      <c r="I264" s="23"/>
      <c r="K264" s="4" t="s">
        <v>884</v>
      </c>
      <c r="L264" s="4">
        <f>+C263</f>
        <v>59673600</v>
      </c>
      <c r="M264" s="54" t="s">
        <v>888</v>
      </c>
      <c r="N264" s="4">
        <f>+O189</f>
        <v>20784000</v>
      </c>
    </row>
    <row r="265" spans="1:14">
      <c r="B265" s="24"/>
      <c r="C265" s="22"/>
      <c r="E265" s="23"/>
      <c r="F265" s="24"/>
      <c r="H265" s="23"/>
      <c r="I265" s="24"/>
      <c r="K265" s="4" t="s">
        <v>885</v>
      </c>
      <c r="M265" s="54" t="s">
        <v>889</v>
      </c>
      <c r="N265" s="4">
        <f>+L256*O194</f>
        <v>63360</v>
      </c>
    </row>
    <row r="266" spans="1:14">
      <c r="B266" s="53" t="s">
        <v>879</v>
      </c>
      <c r="C266" s="24" t="s">
        <v>866</v>
      </c>
      <c r="E266" s="24" t="s">
        <v>866</v>
      </c>
      <c r="F266" s="53" t="s">
        <v>879</v>
      </c>
      <c r="H266" s="24" t="s">
        <v>866</v>
      </c>
      <c r="I266" s="53" t="s">
        <v>893</v>
      </c>
      <c r="M266" s="54" t="s">
        <v>890</v>
      </c>
      <c r="N266" s="165">
        <f>+SUM(L262:L265)-SUM(N267,N262:N265)</f>
        <v>3258240</v>
      </c>
    </row>
    <row r="267" spans="1:14">
      <c r="B267" s="53">
        <f>+E220*0.8</f>
        <v>56832000</v>
      </c>
      <c r="C267" s="53">
        <f>+B267+B263-C263</f>
        <v>56832000</v>
      </c>
      <c r="E267" s="53">
        <f>+F267</f>
        <v>24888000</v>
      </c>
      <c r="F267" s="53">
        <f>+E202*C190*0.5</f>
        <v>24888000</v>
      </c>
      <c r="H267" s="53">
        <f>+I263+I267-H263</f>
        <v>3077760</v>
      </c>
      <c r="I267" s="53">
        <f>+L265</f>
        <v>0</v>
      </c>
      <c r="M267" s="54" t="s">
        <v>866</v>
      </c>
      <c r="N267" s="4">
        <f>+O192</f>
        <v>6000000</v>
      </c>
    </row>
    <row r="268" spans="1:14">
      <c r="B268" s="23"/>
      <c r="C268" s="23"/>
      <c r="E268" s="23"/>
      <c r="F268" s="23"/>
      <c r="H268" s="23"/>
      <c r="I268" s="23"/>
    </row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E8A4-6792-4D63-83AD-77AF708272E7}">
  <sheetPr>
    <pageSetUpPr fitToPage="1"/>
  </sheetPr>
  <dimension ref="A1:Q48"/>
  <sheetViews>
    <sheetView zoomScale="90" zoomScaleNormal="90" workbookViewId="0">
      <selection activeCell="K19" sqref="K19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1012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1055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0" spans="1:17">
      <c r="B10" s="4" t="s">
        <v>1044</v>
      </c>
      <c r="H10" s="12"/>
    </row>
    <row r="11" spans="1:17">
      <c r="B11" s="4" t="s">
        <v>1043</v>
      </c>
      <c r="D11" s="161">
        <v>0.45</v>
      </c>
      <c r="E11" s="161">
        <v>0.3</v>
      </c>
      <c r="F11" s="161">
        <v>0.35</v>
      </c>
      <c r="G11" s="161"/>
      <c r="H11" s="12"/>
    </row>
    <row r="12" spans="1:17">
      <c r="B12" s="4" t="s">
        <v>1045</v>
      </c>
      <c r="D12" s="161">
        <v>0.1</v>
      </c>
      <c r="E12" s="161">
        <v>0.1</v>
      </c>
      <c r="F12" s="161">
        <v>0.1</v>
      </c>
      <c r="G12" s="161"/>
      <c r="H12" s="12"/>
    </row>
    <row r="13" spans="1:17">
      <c r="B13" s="4" t="s">
        <v>1046</v>
      </c>
      <c r="D13" s="184">
        <v>11250</v>
      </c>
      <c r="E13" s="184">
        <v>3300</v>
      </c>
      <c r="F13" s="184">
        <v>6300</v>
      </c>
      <c r="G13" s="184">
        <f>+H13-SUM(D13:F13)</f>
        <v>26400</v>
      </c>
      <c r="H13" s="12">
        <f>+H24</f>
        <v>47250</v>
      </c>
    </row>
    <row r="15" spans="1:17">
      <c r="B15" s="228" t="s">
        <v>1039</v>
      </c>
      <c r="C15" s="228"/>
      <c r="D15" s="228"/>
      <c r="E15" s="228"/>
      <c r="F15" s="228"/>
      <c r="G15" s="228"/>
      <c r="H15" s="228"/>
    </row>
    <row r="16" spans="1:17">
      <c r="B16" s="228"/>
      <c r="C16" s="228"/>
      <c r="D16" s="228" t="s">
        <v>1036</v>
      </c>
      <c r="E16" s="228" t="s">
        <v>1037</v>
      </c>
      <c r="F16" s="228" t="s">
        <v>1038</v>
      </c>
      <c r="G16" s="228" t="s">
        <v>1050</v>
      </c>
      <c r="H16" s="228" t="s">
        <v>1051</v>
      </c>
    </row>
    <row r="17" spans="2:8">
      <c r="B17" s="228" t="s">
        <v>1028</v>
      </c>
      <c r="C17" s="228"/>
      <c r="D17" s="228">
        <v>75000</v>
      </c>
      <c r="E17" s="228">
        <v>33000</v>
      </c>
      <c r="F17" s="228">
        <v>42000</v>
      </c>
      <c r="G17" s="228"/>
      <c r="H17" s="228">
        <f>+SUM(D17:F17)</f>
        <v>150000</v>
      </c>
    </row>
    <row r="18" spans="2:8">
      <c r="B18" s="228" t="s">
        <v>1040</v>
      </c>
      <c r="C18" s="228"/>
      <c r="D18" s="229">
        <v>51000</v>
      </c>
      <c r="E18" s="229">
        <v>28200</v>
      </c>
      <c r="F18" s="229">
        <v>26400</v>
      </c>
      <c r="G18" s="229"/>
      <c r="H18" s="229">
        <f t="shared" ref="H18:H20" si="0">+SUM(D18:F18)</f>
        <v>105600</v>
      </c>
    </row>
    <row r="19" spans="2:8">
      <c r="B19" s="228" t="s">
        <v>1041</v>
      </c>
      <c r="C19" s="228"/>
      <c r="D19" s="228">
        <f>+D17-D18</f>
        <v>24000</v>
      </c>
      <c r="E19" s="228">
        <f t="shared" ref="E19:F19" si="1">+E17-E18</f>
        <v>4800</v>
      </c>
      <c r="F19" s="228">
        <f t="shared" si="1"/>
        <v>15600</v>
      </c>
      <c r="G19" s="228"/>
      <c r="H19" s="228">
        <f t="shared" si="0"/>
        <v>44400</v>
      </c>
    </row>
    <row r="20" spans="2:8">
      <c r="B20" s="228" t="s">
        <v>1042</v>
      </c>
      <c r="C20" s="228"/>
      <c r="D20" s="228">
        <v>16500</v>
      </c>
      <c r="E20" s="228">
        <v>9900</v>
      </c>
      <c r="F20" s="228">
        <v>12600</v>
      </c>
      <c r="G20" s="228"/>
      <c r="H20" s="228">
        <f t="shared" si="0"/>
        <v>39000</v>
      </c>
    </row>
    <row r="21" spans="2:8" ht="16.8" thickBot="1">
      <c r="B21" s="228" t="s">
        <v>1035</v>
      </c>
      <c r="C21" s="228"/>
      <c r="D21" s="230">
        <f>+D19-D20</f>
        <v>7500</v>
      </c>
      <c r="E21" s="230">
        <f t="shared" ref="E21:F21" si="2">+E19-E20</f>
        <v>-5100</v>
      </c>
      <c r="F21" s="230">
        <f t="shared" si="2"/>
        <v>3000</v>
      </c>
      <c r="G21" s="230"/>
      <c r="H21" s="230">
        <f>+SUM(D21:F21)</f>
        <v>5400</v>
      </c>
    </row>
    <row r="22" spans="2:8" ht="17.399999999999999" thickTop="1" thickBot="1"/>
    <row r="23" spans="2:8">
      <c r="B23" s="221" t="s">
        <v>1040</v>
      </c>
      <c r="C23" s="222" t="s">
        <v>1047</v>
      </c>
      <c r="D23" s="222">
        <f>+D17*D11</f>
        <v>33750</v>
      </c>
      <c r="E23" s="222">
        <f>+E17*E11</f>
        <v>9900</v>
      </c>
      <c r="F23" s="222">
        <f>+F17*F11</f>
        <v>14699.999999999998</v>
      </c>
      <c r="G23" s="222"/>
      <c r="H23" s="223">
        <f t="shared" ref="H23:H26" si="3">+SUM(D23:F23)</f>
        <v>58350</v>
      </c>
    </row>
    <row r="24" spans="2:8">
      <c r="B24" s="224"/>
      <c r="C24" s="27" t="s">
        <v>1049</v>
      </c>
      <c r="D24" s="27">
        <f>+D18-D23</f>
        <v>17250</v>
      </c>
      <c r="E24" s="27">
        <f t="shared" ref="E24:F24" si="4">+E18-E23</f>
        <v>18300</v>
      </c>
      <c r="F24" s="27">
        <f t="shared" si="4"/>
        <v>11700.000000000002</v>
      </c>
      <c r="G24" s="27"/>
      <c r="H24" s="225">
        <f t="shared" si="3"/>
        <v>47250</v>
      </c>
    </row>
    <row r="25" spans="2:8">
      <c r="B25" s="224" t="s">
        <v>1042</v>
      </c>
      <c r="C25" s="27" t="s">
        <v>1047</v>
      </c>
      <c r="D25" s="27">
        <f>+D20-D26</f>
        <v>9000</v>
      </c>
      <c r="E25" s="27">
        <f t="shared" ref="E25:F25" si="5">+E20-E26</f>
        <v>6600</v>
      </c>
      <c r="F25" s="27">
        <f t="shared" si="5"/>
        <v>8400</v>
      </c>
      <c r="G25" s="27"/>
      <c r="H25" s="225">
        <f t="shared" si="3"/>
        <v>24000</v>
      </c>
    </row>
    <row r="26" spans="2:8" ht="16.8" thickBot="1">
      <c r="B26" s="226"/>
      <c r="C26" s="55" t="s">
        <v>1048</v>
      </c>
      <c r="D26" s="55">
        <f>+D17*D12</f>
        <v>7500</v>
      </c>
      <c r="E26" s="55">
        <f>+E17*E12</f>
        <v>3300</v>
      </c>
      <c r="F26" s="55">
        <f>+F17*F12</f>
        <v>4200</v>
      </c>
      <c r="G26" s="55"/>
      <c r="H26" s="227">
        <f t="shared" si="3"/>
        <v>15000</v>
      </c>
    </row>
    <row r="27" spans="2:8">
      <c r="H27" s="12"/>
    </row>
    <row r="28" spans="2:8">
      <c r="B28" s="228" t="s">
        <v>1053</v>
      </c>
      <c r="C28" s="228"/>
      <c r="D28" s="228"/>
      <c r="E28" s="228"/>
      <c r="F28" s="228"/>
      <c r="G28" s="228"/>
      <c r="H28" s="228"/>
    </row>
    <row r="29" spans="2:8">
      <c r="B29" s="228"/>
      <c r="C29" s="228"/>
      <c r="D29" s="228" t="s">
        <v>1036</v>
      </c>
      <c r="E29" s="228" t="s">
        <v>1037</v>
      </c>
      <c r="F29" s="228" t="s">
        <v>1038</v>
      </c>
      <c r="G29" s="228" t="s">
        <v>1050</v>
      </c>
      <c r="H29" s="228"/>
    </row>
    <row r="30" spans="2:8">
      <c r="B30" s="228" t="s">
        <v>1028</v>
      </c>
      <c r="C30" s="228"/>
      <c r="D30" s="228">
        <f>+D17</f>
        <v>75000</v>
      </c>
      <c r="E30" s="228">
        <f>+E17</f>
        <v>33000</v>
      </c>
      <c r="F30" s="228">
        <f>+F17</f>
        <v>42000</v>
      </c>
      <c r="G30" s="228"/>
      <c r="H30" s="228">
        <f>+SUM(D30:G30)</f>
        <v>150000</v>
      </c>
    </row>
    <row r="31" spans="2:8">
      <c r="B31" s="228" t="s">
        <v>1029</v>
      </c>
      <c r="C31" s="228"/>
      <c r="D31" s="228">
        <f>+D23</f>
        <v>33750</v>
      </c>
      <c r="E31" s="228">
        <f t="shared" ref="E31:F31" si="6">+E23</f>
        <v>9900</v>
      </c>
      <c r="F31" s="228">
        <f t="shared" si="6"/>
        <v>14699.999999999998</v>
      </c>
      <c r="G31" s="228"/>
      <c r="H31" s="228">
        <f t="shared" ref="H31:H46" si="7">+SUM(D31:G31)</f>
        <v>58350</v>
      </c>
    </row>
    <row r="32" spans="2:8">
      <c r="B32" s="228" t="s">
        <v>1030</v>
      </c>
      <c r="C32" s="228"/>
      <c r="D32" s="229">
        <f>+D25</f>
        <v>9000</v>
      </c>
      <c r="E32" s="229">
        <f t="shared" ref="E32:F32" si="8">+E25</f>
        <v>6600</v>
      </c>
      <c r="F32" s="229">
        <f t="shared" si="8"/>
        <v>8400</v>
      </c>
      <c r="G32" s="229"/>
      <c r="H32" s="229">
        <f t="shared" si="7"/>
        <v>24000</v>
      </c>
    </row>
    <row r="33" spans="2:8">
      <c r="B33" s="228" t="s">
        <v>1031</v>
      </c>
      <c r="C33" s="228"/>
      <c r="D33" s="228">
        <f>+D30-SUM(D31:D32)</f>
        <v>32250</v>
      </c>
      <c r="E33" s="228">
        <f t="shared" ref="E33:F33" si="9">+E30-SUM(E31:E32)</f>
        <v>16500</v>
      </c>
      <c r="F33" s="228">
        <f t="shared" si="9"/>
        <v>18900</v>
      </c>
      <c r="G33" s="228"/>
      <c r="H33" s="228">
        <f t="shared" si="7"/>
        <v>67650</v>
      </c>
    </row>
    <row r="34" spans="2:8">
      <c r="B34" s="79" t="s">
        <v>1052</v>
      </c>
      <c r="C34" s="79"/>
      <c r="D34" s="79">
        <f>+D24+D26</f>
        <v>24750</v>
      </c>
      <c r="E34" s="79">
        <f>+E24+E26</f>
        <v>21600</v>
      </c>
      <c r="F34" s="79">
        <f>+F24+F26</f>
        <v>15900.000000000002</v>
      </c>
      <c r="G34" s="79"/>
      <c r="H34" s="79">
        <f t="shared" si="7"/>
        <v>62250</v>
      </c>
    </row>
    <row r="35" spans="2:8" ht="16.8" thickBot="1">
      <c r="B35" s="228" t="s">
        <v>1035</v>
      </c>
      <c r="C35" s="228"/>
      <c r="D35" s="230">
        <f>+D33-D34</f>
        <v>7500</v>
      </c>
      <c r="E35" s="230">
        <f t="shared" ref="E35:F35" si="10">+E33-E34</f>
        <v>-5100</v>
      </c>
      <c r="F35" s="230">
        <f t="shared" si="10"/>
        <v>2999.9999999999982</v>
      </c>
      <c r="G35" s="230"/>
      <c r="H35" s="230">
        <f t="shared" si="7"/>
        <v>5399.9999999999982</v>
      </c>
    </row>
    <row r="36" spans="2:8" ht="16.8" thickTop="1"/>
    <row r="38" spans="2:8">
      <c r="B38" s="228" t="s">
        <v>1054</v>
      </c>
      <c r="C38" s="228"/>
      <c r="D38" s="228"/>
      <c r="E38" s="228"/>
      <c r="F38" s="228"/>
      <c r="G38" s="228"/>
      <c r="H38" s="228"/>
    </row>
    <row r="39" spans="2:8">
      <c r="B39" s="228"/>
      <c r="C39" s="228"/>
      <c r="D39" s="228" t="s">
        <v>1036</v>
      </c>
      <c r="E39" s="228" t="s">
        <v>1037</v>
      </c>
      <c r="F39" s="228" t="s">
        <v>1038</v>
      </c>
      <c r="G39" s="228" t="s">
        <v>1050</v>
      </c>
      <c r="H39" s="228"/>
    </row>
    <row r="40" spans="2:8">
      <c r="B40" s="228" t="s">
        <v>1028</v>
      </c>
      <c r="C40" s="228"/>
      <c r="D40" s="228">
        <f>+D30</f>
        <v>75000</v>
      </c>
      <c r="E40" s="228">
        <f t="shared" ref="E40:H40" si="11">+E30</f>
        <v>33000</v>
      </c>
      <c r="F40" s="228">
        <f t="shared" si="11"/>
        <v>42000</v>
      </c>
      <c r="G40" s="228">
        <f t="shared" si="11"/>
        <v>0</v>
      </c>
      <c r="H40" s="228">
        <f t="shared" si="11"/>
        <v>150000</v>
      </c>
    </row>
    <row r="41" spans="2:8">
      <c r="B41" s="228" t="s">
        <v>1029</v>
      </c>
      <c r="C41" s="228"/>
      <c r="D41" s="228">
        <f t="shared" ref="D41:H41" si="12">+D31</f>
        <v>33750</v>
      </c>
      <c r="E41" s="228">
        <f t="shared" si="12"/>
        <v>9900</v>
      </c>
      <c r="F41" s="228">
        <f t="shared" si="12"/>
        <v>14699.999999999998</v>
      </c>
      <c r="G41" s="228">
        <f t="shared" si="12"/>
        <v>0</v>
      </c>
      <c r="H41" s="228">
        <f t="shared" si="12"/>
        <v>58350</v>
      </c>
    </row>
    <row r="42" spans="2:8">
      <c r="B42" s="228" t="s">
        <v>1030</v>
      </c>
      <c r="C42" s="228"/>
      <c r="D42" s="229">
        <f t="shared" ref="D42:H42" si="13">+D32</f>
        <v>9000</v>
      </c>
      <c r="E42" s="229">
        <f t="shared" si="13"/>
        <v>6600</v>
      </c>
      <c r="F42" s="229">
        <f t="shared" si="13"/>
        <v>8400</v>
      </c>
      <c r="G42" s="229">
        <f t="shared" si="13"/>
        <v>0</v>
      </c>
      <c r="H42" s="229">
        <f t="shared" si="13"/>
        <v>24000</v>
      </c>
    </row>
    <row r="43" spans="2:8">
      <c r="B43" s="228" t="s">
        <v>1031</v>
      </c>
      <c r="C43" s="228"/>
      <c r="D43" s="228">
        <f t="shared" ref="D43:H43" si="14">+D33</f>
        <v>32250</v>
      </c>
      <c r="E43" s="228">
        <f t="shared" si="14"/>
        <v>16500</v>
      </c>
      <c r="F43" s="228">
        <f t="shared" si="14"/>
        <v>18900</v>
      </c>
      <c r="G43" s="228">
        <f t="shared" si="14"/>
        <v>0</v>
      </c>
      <c r="H43" s="228">
        <f t="shared" si="14"/>
        <v>67650</v>
      </c>
    </row>
    <row r="44" spans="2:8">
      <c r="B44" s="79" t="s">
        <v>1032</v>
      </c>
      <c r="C44" s="79"/>
      <c r="D44" s="80">
        <f>+D13</f>
        <v>11250</v>
      </c>
      <c r="E44" s="80">
        <f>+E13</f>
        <v>3300</v>
      </c>
      <c r="F44" s="80">
        <f>+F13</f>
        <v>6300</v>
      </c>
      <c r="G44" s="80"/>
      <c r="H44" s="80">
        <f t="shared" si="7"/>
        <v>20850</v>
      </c>
    </row>
    <row r="45" spans="2:8" ht="16.8" thickBot="1">
      <c r="B45" s="228" t="s">
        <v>1033</v>
      </c>
      <c r="C45" s="228"/>
      <c r="D45" s="230">
        <f>+D33-D44</f>
        <v>21000</v>
      </c>
      <c r="E45" s="230">
        <f>+E33-E44</f>
        <v>13200</v>
      </c>
      <c r="F45" s="230">
        <f>+F33-F44</f>
        <v>12600</v>
      </c>
      <c r="G45" s="228"/>
      <c r="H45" s="228">
        <f t="shared" si="7"/>
        <v>46800</v>
      </c>
    </row>
    <row r="46" spans="2:8" ht="16.8" thickTop="1">
      <c r="B46" s="79" t="s">
        <v>1034</v>
      </c>
      <c r="C46" s="79"/>
      <c r="D46" s="79"/>
      <c r="E46" s="79"/>
      <c r="F46" s="79"/>
      <c r="G46" s="79">
        <f>+G13+H26</f>
        <v>41400</v>
      </c>
      <c r="H46" s="79">
        <f t="shared" si="7"/>
        <v>41400</v>
      </c>
    </row>
    <row r="47" spans="2:8" ht="16.8" thickBot="1">
      <c r="B47" s="228" t="s">
        <v>1035</v>
      </c>
      <c r="C47" s="228"/>
      <c r="D47" s="228"/>
      <c r="E47" s="228"/>
      <c r="F47" s="228"/>
      <c r="G47" s="228"/>
      <c r="H47" s="230">
        <f>+H45-H46</f>
        <v>5400</v>
      </c>
    </row>
    <row r="48" spans="2:8" ht="16.8" thickTop="1"/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D7AB-B122-4476-B8F1-528372E74282}">
  <sheetPr>
    <pageSetUpPr fitToPage="1"/>
  </sheetPr>
  <dimension ref="A1:Q22"/>
  <sheetViews>
    <sheetView zoomScale="90" zoomScaleNormal="90" workbookViewId="0">
      <selection activeCell="G19" sqref="G19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1056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1057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/>
      <c r="B6" s="17" t="s">
        <v>1058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0" spans="1:17">
      <c r="B10" s="4" t="s">
        <v>206</v>
      </c>
    </row>
    <row r="12" spans="1:17">
      <c r="B12" s="4" t="s">
        <v>1059</v>
      </c>
      <c r="D12" s="4" t="s">
        <v>934</v>
      </c>
    </row>
    <row r="13" spans="1:17">
      <c r="B13" s="26"/>
      <c r="C13" s="24" t="s">
        <v>1060</v>
      </c>
      <c r="E13" s="4" t="s">
        <v>1063</v>
      </c>
    </row>
    <row r="14" spans="1:17">
      <c r="B14" s="237"/>
      <c r="C14" s="239">
        <v>0.5</v>
      </c>
      <c r="D14" s="161">
        <v>0.06</v>
      </c>
      <c r="E14" s="161">
        <f>+D14*0.6</f>
        <v>3.5999999999999997E-2</v>
      </c>
    </row>
    <row r="15" spans="1:17">
      <c r="B15" s="237"/>
      <c r="C15" s="239"/>
    </row>
    <row r="16" spans="1:17">
      <c r="B16" s="237"/>
      <c r="C16" s="239"/>
    </row>
    <row r="17" spans="2:5">
      <c r="B17" s="237"/>
      <c r="C17" s="241" t="s">
        <v>1061</v>
      </c>
    </row>
    <row r="18" spans="2:5">
      <c r="B18" s="237"/>
      <c r="C18" s="240">
        <v>0.2</v>
      </c>
      <c r="D18" s="161">
        <v>0.11</v>
      </c>
    </row>
    <row r="19" spans="2:5">
      <c r="B19" s="237"/>
      <c r="C19" s="239" t="s">
        <v>1062</v>
      </c>
    </row>
    <row r="20" spans="2:5">
      <c r="B20" s="238"/>
      <c r="C20" s="240">
        <v>0.3</v>
      </c>
      <c r="D20" s="161">
        <v>0.1</v>
      </c>
    </row>
    <row r="22" spans="2:5">
      <c r="E22" s="242">
        <f>+E14*C14+D18*C18+D20*C20</f>
        <v>7.0000000000000007E-2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161"/>
  <sheetViews>
    <sheetView zoomScale="90" zoomScaleNormal="90" workbookViewId="0">
      <selection activeCell="K38" sqref="K38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953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1106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>
      <c r="G9" s="81" t="s">
        <v>1107</v>
      </c>
      <c r="H9" s="29" t="s">
        <v>1108</v>
      </c>
    </row>
    <row r="10" spans="1:17" s="29" customFormat="1">
      <c r="B10" s="29" t="s">
        <v>970</v>
      </c>
    </row>
    <row r="11" spans="1:17" s="29" customFormat="1">
      <c r="D11" s="29" t="s">
        <v>967</v>
      </c>
      <c r="E11" s="29" t="s">
        <v>968</v>
      </c>
      <c r="F11" s="29" t="s">
        <v>980</v>
      </c>
      <c r="H11" s="29" t="s">
        <v>1105</v>
      </c>
    </row>
    <row r="12" spans="1:17" s="29" customFormat="1">
      <c r="B12" s="29" t="s">
        <v>971</v>
      </c>
      <c r="D12" s="29">
        <v>2000</v>
      </c>
      <c r="E12" s="29">
        <v>1000</v>
      </c>
      <c r="G12" s="29" t="s">
        <v>978</v>
      </c>
      <c r="M12" s="29" t="s">
        <v>984</v>
      </c>
      <c r="N12" s="207">
        <v>7.0000000000000007E-2</v>
      </c>
    </row>
    <row r="13" spans="1:17" s="29" customFormat="1">
      <c r="B13" s="29" t="s">
        <v>972</v>
      </c>
      <c r="D13" s="29">
        <v>200</v>
      </c>
      <c r="E13" s="29">
        <v>450</v>
      </c>
      <c r="G13" s="29" t="s">
        <v>979</v>
      </c>
      <c r="M13" s="29" t="s">
        <v>985</v>
      </c>
      <c r="N13" s="207">
        <v>0.4</v>
      </c>
    </row>
    <row r="14" spans="1:17" s="29" customFormat="1">
      <c r="B14" s="29" t="s">
        <v>973</v>
      </c>
      <c r="D14" s="29">
        <v>500</v>
      </c>
      <c r="E14" s="29">
        <v>100</v>
      </c>
      <c r="G14" s="29" t="s">
        <v>978</v>
      </c>
    </row>
    <row r="15" spans="1:17" s="29" customFormat="1">
      <c r="B15" s="29" t="s">
        <v>974</v>
      </c>
      <c r="D15" s="29">
        <v>600</v>
      </c>
      <c r="E15" s="29">
        <v>200</v>
      </c>
      <c r="G15" s="29" t="s">
        <v>978</v>
      </c>
    </row>
    <row r="16" spans="1:17" s="29" customFormat="1">
      <c r="B16" s="29" t="s">
        <v>975</v>
      </c>
      <c r="D16" s="29">
        <v>400</v>
      </c>
      <c r="E16" s="29">
        <v>200</v>
      </c>
      <c r="G16" s="29" t="s">
        <v>978</v>
      </c>
    </row>
    <row r="17" spans="1:9" s="29" customFormat="1">
      <c r="B17" s="29" t="s">
        <v>976</v>
      </c>
      <c r="D17" s="29">
        <v>100</v>
      </c>
      <c r="E17" s="29">
        <v>40</v>
      </c>
      <c r="G17" s="29" t="s">
        <v>978</v>
      </c>
    </row>
    <row r="18" spans="1:9" s="29" customFormat="1"/>
    <row r="19" spans="1:9" s="29" customFormat="1">
      <c r="B19" s="29" t="s">
        <v>977</v>
      </c>
      <c r="D19" s="29">
        <v>18000</v>
      </c>
      <c r="E19" s="29">
        <v>42000</v>
      </c>
      <c r="F19" s="29">
        <v>15000</v>
      </c>
    </row>
    <row r="20" spans="1:9" s="29" customFormat="1">
      <c r="B20" s="29" t="s">
        <v>981</v>
      </c>
      <c r="D20" s="29">
        <f>+D19*0.25</f>
        <v>4500</v>
      </c>
      <c r="E20" s="29">
        <f>+E19*0.25</f>
        <v>10500</v>
      </c>
    </row>
    <row r="21" spans="1:9" s="29" customFormat="1"/>
    <row r="22" spans="1:9" s="29" customFormat="1">
      <c r="B22" s="29" t="s">
        <v>982</v>
      </c>
      <c r="D22" s="29">
        <v>18000</v>
      </c>
      <c r="E22" s="29">
        <v>30000</v>
      </c>
      <c r="F22" s="29">
        <f>+SUM(D22:E22)</f>
        <v>48000</v>
      </c>
    </row>
    <row r="23" spans="1:9" s="29" customFormat="1"/>
    <row r="24" spans="1:9" s="29" customFormat="1">
      <c r="B24" s="29" t="s">
        <v>983</v>
      </c>
      <c r="D24" s="29">
        <v>200000</v>
      </c>
      <c r="E24" s="29">
        <v>400000</v>
      </c>
      <c r="I24" s="29" t="s">
        <v>1109</v>
      </c>
    </row>
    <row r="25" spans="1:9" s="29" customFormat="1">
      <c r="B25" s="29" t="s">
        <v>981</v>
      </c>
      <c r="D25" s="29">
        <v>150000</v>
      </c>
      <c r="E25" s="29">
        <v>250000</v>
      </c>
      <c r="H25" s="29">
        <v>20000</v>
      </c>
      <c r="I25" s="29">
        <f>+E25+H25</f>
        <v>270000</v>
      </c>
    </row>
    <row r="26" spans="1:9" s="29" customFormat="1"/>
    <row r="27" spans="1:9" s="29" customFormat="1">
      <c r="A27" s="29" t="s">
        <v>986</v>
      </c>
      <c r="B27" s="29" t="s">
        <v>954</v>
      </c>
    </row>
    <row r="28" spans="1:9" s="29" customFormat="1">
      <c r="D28" s="29" t="s">
        <v>967</v>
      </c>
      <c r="E28" s="29" t="s">
        <v>968</v>
      </c>
      <c r="F28" s="29" t="s">
        <v>969</v>
      </c>
    </row>
    <row r="29" spans="1:9" s="29" customFormat="1">
      <c r="B29" s="29" t="s">
        <v>955</v>
      </c>
      <c r="D29" s="29">
        <f>+D12*D13</f>
        <v>400000</v>
      </c>
      <c r="E29" s="29">
        <f>+E12*E13</f>
        <v>450000</v>
      </c>
      <c r="F29" s="29">
        <f>+SUM(D29:E29)</f>
        <v>850000</v>
      </c>
    </row>
    <row r="30" spans="1:9" s="29" customFormat="1">
      <c r="B30" s="29" t="s">
        <v>956</v>
      </c>
    </row>
    <row r="31" spans="1:9" s="29" customFormat="1">
      <c r="B31" s="29" t="s">
        <v>957</v>
      </c>
      <c r="D31" s="29">
        <f>+D13*SUM(D14:D16)</f>
        <v>300000</v>
      </c>
      <c r="E31" s="29">
        <f>+E13*SUM(E14:E16)</f>
        <v>225000</v>
      </c>
      <c r="F31" s="29">
        <f t="shared" ref="F31:F39" si="0">+SUM(D31:E31)</f>
        <v>525000</v>
      </c>
    </row>
    <row r="32" spans="1:9" s="29" customFormat="1">
      <c r="B32" s="29" t="s">
        <v>958</v>
      </c>
      <c r="D32" s="29">
        <f>+D13*D17</f>
        <v>20000</v>
      </c>
      <c r="E32" s="29">
        <f>+E13*E17</f>
        <v>18000</v>
      </c>
      <c r="F32" s="29">
        <f t="shared" si="0"/>
        <v>38000</v>
      </c>
    </row>
    <row r="33" spans="1:10" s="29" customFormat="1">
      <c r="B33" s="29" t="s">
        <v>959</v>
      </c>
      <c r="D33" s="206">
        <f>+SUM(D31:D32)</f>
        <v>320000</v>
      </c>
      <c r="E33" s="206">
        <f>+SUM(E31:E32)</f>
        <v>243000</v>
      </c>
      <c r="F33" s="206">
        <f t="shared" si="0"/>
        <v>563000</v>
      </c>
    </row>
    <row r="34" spans="1:10" s="29" customFormat="1">
      <c r="B34" s="29" t="s">
        <v>960</v>
      </c>
      <c r="D34" s="29">
        <f>+D29-D33</f>
        <v>80000</v>
      </c>
      <c r="E34" s="29">
        <f>+E29-E33</f>
        <v>207000</v>
      </c>
      <c r="F34" s="29">
        <f t="shared" si="0"/>
        <v>287000</v>
      </c>
    </row>
    <row r="35" spans="1:10" s="29" customFormat="1">
      <c r="B35" s="29" t="s">
        <v>961</v>
      </c>
      <c r="D35" s="29">
        <f>+D20</f>
        <v>4500</v>
      </c>
      <c r="E35" s="29">
        <f>+E20</f>
        <v>10500</v>
      </c>
      <c r="F35" s="29">
        <f t="shared" si="0"/>
        <v>15000</v>
      </c>
    </row>
    <row r="36" spans="1:10" s="29" customFormat="1">
      <c r="B36" s="172" t="s">
        <v>962</v>
      </c>
      <c r="C36" s="172"/>
      <c r="D36" s="172">
        <f>+D34-D35</f>
        <v>75500</v>
      </c>
      <c r="E36" s="172">
        <f>+E34-E35</f>
        <v>196500</v>
      </c>
      <c r="F36" s="29">
        <f t="shared" si="0"/>
        <v>272000</v>
      </c>
      <c r="H36" s="29">
        <v>10500</v>
      </c>
    </row>
    <row r="37" spans="1:10" s="29" customFormat="1">
      <c r="B37" s="29" t="s">
        <v>963</v>
      </c>
      <c r="D37" s="29">
        <f>+D19-D20</f>
        <v>13500</v>
      </c>
      <c r="E37" s="29">
        <f>+E19-E20</f>
        <v>31500</v>
      </c>
      <c r="F37" s="29">
        <f t="shared" si="0"/>
        <v>45000</v>
      </c>
    </row>
    <row r="38" spans="1:10" s="29" customFormat="1">
      <c r="B38" s="29" t="s">
        <v>964</v>
      </c>
      <c r="D38" s="210">
        <f>+D36-D37</f>
        <v>62000</v>
      </c>
      <c r="E38" s="210">
        <f>+E36-E37</f>
        <v>165000</v>
      </c>
      <c r="F38" s="174">
        <f t="shared" si="0"/>
        <v>227000</v>
      </c>
    </row>
    <row r="39" spans="1:10" s="29" customFormat="1">
      <c r="B39" s="29" t="s">
        <v>965</v>
      </c>
      <c r="D39" s="208">
        <f>+D22</f>
        <v>18000</v>
      </c>
      <c r="E39" s="208">
        <f>+E22</f>
        <v>30000</v>
      </c>
      <c r="F39" s="184">
        <f t="shared" si="0"/>
        <v>48000</v>
      </c>
    </row>
    <row r="40" spans="1:10" s="29" customFormat="1" ht="16.8" thickBot="1">
      <c r="B40" s="29" t="s">
        <v>966</v>
      </c>
      <c r="D40" s="209">
        <f>+D38-D39</f>
        <v>44000</v>
      </c>
      <c r="E40" s="209">
        <f t="shared" ref="E40:F40" si="1">+E38-E39</f>
        <v>135000</v>
      </c>
      <c r="F40" s="178">
        <f t="shared" si="1"/>
        <v>179000</v>
      </c>
    </row>
    <row r="41" spans="1:10" s="29" customFormat="1" ht="16.8" thickTop="1"/>
    <row r="42" spans="1:10" s="29" customFormat="1">
      <c r="A42" s="29" t="s">
        <v>987</v>
      </c>
      <c r="B42" s="29" t="s">
        <v>991</v>
      </c>
      <c r="D42" s="29">
        <f>+D36*(1-$N$13)</f>
        <v>45300</v>
      </c>
      <c r="E42" s="29">
        <f>+E36*(1-$N$13)</f>
        <v>117900</v>
      </c>
      <c r="H42" s="29">
        <f>+H36*(1-$N$13)</f>
        <v>6300</v>
      </c>
      <c r="I42" s="29">
        <f>+E42+H42</f>
        <v>124200</v>
      </c>
    </row>
    <row r="43" spans="1:10" s="29" customFormat="1">
      <c r="B43" s="29" t="s">
        <v>988</v>
      </c>
      <c r="D43" s="29">
        <f>+D25</f>
        <v>150000</v>
      </c>
      <c r="E43" s="29">
        <f>+E25</f>
        <v>250000</v>
      </c>
      <c r="H43" s="29">
        <f>+H25</f>
        <v>20000</v>
      </c>
      <c r="I43" s="29">
        <f>+I25</f>
        <v>270000</v>
      </c>
    </row>
    <row r="44" spans="1:10" s="29" customFormat="1">
      <c r="B44" s="29" t="s">
        <v>989</v>
      </c>
      <c r="D44" s="211">
        <f>+D42/D43</f>
        <v>0.30199999999999999</v>
      </c>
      <c r="E44" s="212">
        <f>+E42/E43</f>
        <v>0.47160000000000002</v>
      </c>
      <c r="H44" s="212">
        <f>+H42/H43</f>
        <v>0.315</v>
      </c>
      <c r="I44" s="212">
        <f>+I42/I43</f>
        <v>0.46</v>
      </c>
      <c r="J44" s="29" t="s">
        <v>1110</v>
      </c>
    </row>
    <row r="45" spans="1:10">
      <c r="B45" s="4" t="s">
        <v>990</v>
      </c>
      <c r="D45" s="28">
        <f>+D42-D43*$N$12</f>
        <v>34800</v>
      </c>
      <c r="E45" s="28">
        <f>+E42-E43*$N$12</f>
        <v>100400</v>
      </c>
      <c r="H45" s="28">
        <f>+H42-H43*$N$12</f>
        <v>4900</v>
      </c>
      <c r="I45" s="28">
        <f>+I42-I43*$N$12</f>
        <v>105300</v>
      </c>
      <c r="J45" s="4" t="s">
        <v>1111</v>
      </c>
    </row>
    <row r="46" spans="1:10">
      <c r="H46" s="4" t="s">
        <v>1112</v>
      </c>
    </row>
    <row r="47" spans="1:10">
      <c r="A47" s="4" t="s">
        <v>992</v>
      </c>
      <c r="B47" s="4" t="s">
        <v>993</v>
      </c>
      <c r="D47" s="4">
        <f>+D38*(1-$N$13)</f>
        <v>37200</v>
      </c>
      <c r="E47" s="4">
        <f>+E38*(1-$N$13)</f>
        <v>99000</v>
      </c>
    </row>
    <row r="48" spans="1:10">
      <c r="B48" s="4" t="s">
        <v>983</v>
      </c>
      <c r="D48" s="4">
        <f>+D24</f>
        <v>200000</v>
      </c>
      <c r="E48" s="4">
        <f>+E24</f>
        <v>400000</v>
      </c>
    </row>
    <row r="49" spans="1:17">
      <c r="B49" s="4" t="s">
        <v>994</v>
      </c>
      <c r="D49" s="176">
        <f>+D47/D48</f>
        <v>0.186</v>
      </c>
      <c r="E49" s="205">
        <f>+E47/E48</f>
        <v>0.2475</v>
      </c>
    </row>
    <row r="50" spans="1:17">
      <c r="B50" s="4" t="s">
        <v>990</v>
      </c>
      <c r="D50" s="28">
        <f>+D47-D48*$N$12</f>
        <v>23200</v>
      </c>
      <c r="E50" s="28">
        <f>+E47-E48*$N$12</f>
        <v>71000</v>
      </c>
    </row>
    <row r="53" spans="1:17" ht="18" customHeight="1">
      <c r="A53" s="13" t="s">
        <v>1011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/>
    </row>
    <row r="54" spans="1:17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/>
    </row>
    <row r="55" spans="1:17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/>
    </row>
    <row r="56" spans="1:17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/>
    </row>
    <row r="58" spans="1:17">
      <c r="B58" s="4" t="s">
        <v>206</v>
      </c>
    </row>
    <row r="59" spans="1:17">
      <c r="C59" s="4" t="s">
        <v>176</v>
      </c>
      <c r="D59" s="4" t="s">
        <v>308</v>
      </c>
      <c r="I59" s="117"/>
      <c r="J59" s="117" t="s">
        <v>1026</v>
      </c>
      <c r="K59" s="117"/>
      <c r="L59" s="117"/>
      <c r="M59" s="117"/>
      <c r="N59" s="117"/>
    </row>
    <row r="60" spans="1:17">
      <c r="B60" s="4" t="s">
        <v>1015</v>
      </c>
      <c r="E60" s="4">
        <v>14000</v>
      </c>
      <c r="I60" s="118"/>
      <c r="J60" s="117"/>
      <c r="K60" s="117"/>
      <c r="L60" s="117"/>
      <c r="M60" s="117"/>
      <c r="N60" s="117"/>
    </row>
    <row r="61" spans="1:17">
      <c r="I61" s="118"/>
      <c r="J61" s="117"/>
      <c r="K61" s="119"/>
      <c r="L61" s="117"/>
      <c r="M61" s="117"/>
      <c r="N61" s="117" t="s">
        <v>340</v>
      </c>
    </row>
    <row r="62" spans="1:17">
      <c r="B62" s="4" t="s">
        <v>1016</v>
      </c>
      <c r="I62" s="118"/>
      <c r="J62" s="120"/>
      <c r="K62" s="121"/>
      <c r="L62" s="122"/>
      <c r="M62" s="123"/>
      <c r="N62" s="120">
        <f>+I65*M66</f>
        <v>9000000</v>
      </c>
    </row>
    <row r="63" spans="1:17">
      <c r="B63" s="4" t="s">
        <v>1017</v>
      </c>
      <c r="C63" s="4">
        <v>300</v>
      </c>
      <c r="D63" s="4">
        <v>4</v>
      </c>
      <c r="E63" s="4">
        <f>+C63*D63</f>
        <v>1200</v>
      </c>
      <c r="I63" s="118"/>
      <c r="J63" s="124"/>
      <c r="K63" s="122"/>
      <c r="L63" s="125"/>
      <c r="M63" s="126"/>
      <c r="N63" s="120"/>
    </row>
    <row r="64" spans="1:17">
      <c r="B64" s="4" t="s">
        <v>1018</v>
      </c>
      <c r="C64" s="4">
        <v>400</v>
      </c>
      <c r="D64" s="4">
        <v>10</v>
      </c>
      <c r="E64" s="4">
        <f>+C64*D64</f>
        <v>4000</v>
      </c>
      <c r="I64" s="118"/>
      <c r="J64" s="120"/>
      <c r="K64" s="125"/>
      <c r="L64" s="127"/>
      <c r="M64" s="128"/>
      <c r="N64" s="120"/>
    </row>
    <row r="65" spans="2:14">
      <c r="B65" s="43" t="s">
        <v>1019</v>
      </c>
      <c r="C65" s="4">
        <v>480</v>
      </c>
      <c r="D65" s="4">
        <v>10</v>
      </c>
      <c r="E65" s="4">
        <f>+C65*D65</f>
        <v>4800</v>
      </c>
      <c r="F65" s="220" t="s">
        <v>1025</v>
      </c>
      <c r="G65" s="220">
        <f>+D65*I65</f>
        <v>1800</v>
      </c>
      <c r="I65" s="129">
        <f>+C65-I66</f>
        <v>180</v>
      </c>
      <c r="J65" s="130"/>
      <c r="K65" s="131" t="s">
        <v>309</v>
      </c>
      <c r="L65" s="131" t="s">
        <v>310</v>
      </c>
      <c r="M65" s="132" t="s">
        <v>337</v>
      </c>
      <c r="N65" s="120"/>
    </row>
    <row r="66" spans="2:14" ht="16.8" thickBot="1">
      <c r="B66" s="4" t="s">
        <v>1020</v>
      </c>
      <c r="E66" s="57">
        <f>+SUM(E63:E65)</f>
        <v>10000</v>
      </c>
      <c r="I66" s="129">
        <f>+N69/M66</f>
        <v>300</v>
      </c>
      <c r="J66" s="133"/>
      <c r="K66" s="121"/>
      <c r="L66" s="121"/>
      <c r="M66" s="134">
        <v>50000</v>
      </c>
      <c r="N66" s="120"/>
    </row>
    <row r="67" spans="2:14" ht="16.8" thickTop="1">
      <c r="I67" s="118"/>
      <c r="J67" s="120"/>
      <c r="K67" s="135"/>
      <c r="L67" s="121"/>
      <c r="M67" s="136"/>
      <c r="N67" s="120"/>
    </row>
    <row r="68" spans="2:14">
      <c r="B68" s="4" t="s">
        <v>113</v>
      </c>
      <c r="D68" s="4">
        <v>3000000</v>
      </c>
      <c r="E68" s="4" t="s">
        <v>161</v>
      </c>
      <c r="I68" s="118"/>
      <c r="J68" s="137"/>
      <c r="K68" s="138"/>
      <c r="L68" s="139"/>
      <c r="M68" s="140"/>
      <c r="N68" s="141"/>
    </row>
    <row r="69" spans="2:14">
      <c r="B69" s="4" t="s">
        <v>1021</v>
      </c>
      <c r="D69" s="4">
        <v>5000</v>
      </c>
      <c r="E69" s="4" t="s">
        <v>488</v>
      </c>
      <c r="I69" s="118"/>
      <c r="J69" s="142"/>
      <c r="K69" s="143"/>
      <c r="L69" s="144"/>
      <c r="M69" s="145"/>
      <c r="N69" s="141">
        <v>15000000</v>
      </c>
    </row>
    <row r="70" spans="2:14">
      <c r="I70" s="118"/>
      <c r="J70" s="118"/>
      <c r="K70" s="146"/>
      <c r="L70" s="147"/>
      <c r="M70" s="118"/>
      <c r="N70" s="118"/>
    </row>
    <row r="71" spans="2:14">
      <c r="F71" s="4" t="s">
        <v>932</v>
      </c>
      <c r="G71" s="165" t="s">
        <v>1024</v>
      </c>
      <c r="I71" s="118"/>
      <c r="J71" s="118"/>
      <c r="K71" s="146"/>
      <c r="L71" s="118"/>
      <c r="M71" s="118"/>
      <c r="N71" s="118"/>
    </row>
    <row r="72" spans="2:14">
      <c r="B72" s="4" t="s">
        <v>332</v>
      </c>
      <c r="E72" s="4">
        <v>15000000</v>
      </c>
      <c r="F72" s="4">
        <f>+E72*0.8</f>
        <v>12000000</v>
      </c>
      <c r="G72" s="165">
        <f>+E72-F72</f>
        <v>3000000</v>
      </c>
    </row>
    <row r="73" spans="2:14">
      <c r="B73" s="4" t="s">
        <v>755</v>
      </c>
      <c r="G73" s="165"/>
    </row>
    <row r="74" spans="2:14">
      <c r="B74" s="4" t="s">
        <v>1022</v>
      </c>
      <c r="C74" s="4">
        <v>1000</v>
      </c>
      <c r="D74" s="4">
        <f>+D69</f>
        <v>5000</v>
      </c>
      <c r="E74" s="4">
        <f>+C74*D74</f>
        <v>5000000</v>
      </c>
      <c r="F74" s="4">
        <f>+E74</f>
        <v>5000000</v>
      </c>
      <c r="G74" s="165">
        <f>+E74-F74</f>
        <v>0</v>
      </c>
    </row>
    <row r="75" spans="2:14">
      <c r="B75" s="4" t="s">
        <v>1023</v>
      </c>
      <c r="E75" s="4">
        <f>13000000-E74</f>
        <v>8000000</v>
      </c>
      <c r="F75" s="4">
        <f>+E75*0.7</f>
        <v>5600000</v>
      </c>
      <c r="G75" s="165">
        <f>+E75-F75</f>
        <v>2400000</v>
      </c>
    </row>
    <row r="80" spans="2:14">
      <c r="B80" s="4" t="s">
        <v>87</v>
      </c>
      <c r="D80" s="4">
        <f>+E60*D69</f>
        <v>70000000</v>
      </c>
    </row>
    <row r="81" spans="1:17">
      <c r="B81" s="4" t="s">
        <v>122</v>
      </c>
      <c r="D81" s="51">
        <f>+SUM(E63:E64,G65)*D69</f>
        <v>35000000</v>
      </c>
    </row>
    <row r="82" spans="1:17">
      <c r="B82" s="4" t="s">
        <v>911</v>
      </c>
      <c r="D82" s="4">
        <f>+D80-D81</f>
        <v>35000000</v>
      </c>
    </row>
    <row r="83" spans="1:17">
      <c r="B83" s="4" t="s">
        <v>101</v>
      </c>
      <c r="D83" s="51">
        <f>+E74</f>
        <v>5000000</v>
      </c>
    </row>
    <row r="84" spans="1:17">
      <c r="B84" s="4" t="s">
        <v>912</v>
      </c>
      <c r="D84" s="4">
        <f>+D82-D83</f>
        <v>30000000</v>
      </c>
    </row>
    <row r="85" spans="1:17">
      <c r="B85" s="165" t="s">
        <v>914</v>
      </c>
      <c r="D85" s="51">
        <f>+F72+F75</f>
        <v>17600000</v>
      </c>
      <c r="E85" s="236" t="s">
        <v>1027</v>
      </c>
    </row>
    <row r="86" spans="1:17">
      <c r="B86" s="165" t="s">
        <v>915</v>
      </c>
      <c r="D86" s="4">
        <f>+D84-D85</f>
        <v>12400000</v>
      </c>
      <c r="E86" s="236"/>
    </row>
    <row r="87" spans="1:17">
      <c r="B87" s="165" t="s">
        <v>916</v>
      </c>
      <c r="D87" s="51">
        <f>+G72+G75</f>
        <v>5400000</v>
      </c>
      <c r="E87" s="236"/>
    </row>
    <row r="88" spans="1:17">
      <c r="B88" s="165" t="s">
        <v>917</v>
      </c>
      <c r="D88" s="4">
        <f>+D86-D87</f>
        <v>7000000</v>
      </c>
      <c r="E88" s="236"/>
    </row>
    <row r="89" spans="1:17">
      <c r="B89" s="4" t="s">
        <v>1013</v>
      </c>
      <c r="D89" s="165">
        <f>+D88-D90</f>
        <v>4000000</v>
      </c>
    </row>
    <row r="90" spans="1:17" ht="16.8" thickBot="1">
      <c r="B90" s="4" t="s">
        <v>1014</v>
      </c>
      <c r="D90" s="57">
        <f>+D68</f>
        <v>3000000</v>
      </c>
    </row>
    <row r="91" spans="1:17" ht="16.8" thickTop="1"/>
    <row r="93" spans="1:17" ht="18" customHeight="1">
      <c r="A93" s="13" t="s">
        <v>952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5"/>
    </row>
    <row r="94" spans="1:17">
      <c r="A94" s="1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/>
    </row>
    <row r="95" spans="1:17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/>
    </row>
    <row r="96" spans="1:17">
      <c r="A96" s="19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1"/>
    </row>
    <row r="98" spans="1:13">
      <c r="B98" s="4" t="s">
        <v>920</v>
      </c>
    </row>
    <row r="99" spans="1:13">
      <c r="B99" s="4" t="s">
        <v>921</v>
      </c>
      <c r="F99" s="26" t="s">
        <v>927</v>
      </c>
      <c r="G99" s="88" t="s">
        <v>928</v>
      </c>
      <c r="H99" s="88" t="s">
        <v>931</v>
      </c>
      <c r="I99" s="89" t="s">
        <v>932</v>
      </c>
    </row>
    <row r="100" spans="1:13">
      <c r="B100" s="4" t="s">
        <v>922</v>
      </c>
      <c r="D100" s="4">
        <v>4000000</v>
      </c>
      <c r="F100" s="54"/>
      <c r="G100" s="27"/>
      <c r="H100" s="27"/>
      <c r="I100" s="93"/>
    </row>
    <row r="101" spans="1:13">
      <c r="B101" s="4" t="s">
        <v>923</v>
      </c>
      <c r="D101" s="51">
        <v>2900000</v>
      </c>
      <c r="F101" s="202">
        <f>+D101-G101</f>
        <v>2000000</v>
      </c>
      <c r="G101" s="203">
        <v>900000</v>
      </c>
      <c r="H101" s="203">
        <f>+G101</f>
        <v>900000</v>
      </c>
      <c r="I101" s="204">
        <f>+H101*0.7</f>
        <v>630000</v>
      </c>
    </row>
    <row r="102" spans="1:13">
      <c r="B102" s="4" t="s">
        <v>924</v>
      </c>
      <c r="D102" s="4">
        <f>+D100-D101</f>
        <v>1100000</v>
      </c>
      <c r="F102" s="54"/>
      <c r="G102" s="27"/>
      <c r="H102" s="27"/>
      <c r="I102" s="93"/>
    </row>
    <row r="103" spans="1:13">
      <c r="B103" s="4" t="s">
        <v>925</v>
      </c>
      <c r="D103" s="4">
        <v>1200000</v>
      </c>
      <c r="F103" s="202">
        <f>+D109*D110</f>
        <v>400000</v>
      </c>
      <c r="G103" s="203">
        <f>+D103-F103</f>
        <v>800000</v>
      </c>
      <c r="H103" s="203">
        <v>300000</v>
      </c>
      <c r="I103" s="204">
        <f>+H103*0.8</f>
        <v>240000</v>
      </c>
    </row>
    <row r="104" spans="1:13" ht="16.8" thickBot="1">
      <c r="B104" s="4" t="s">
        <v>926</v>
      </c>
      <c r="D104" s="57">
        <f>+D102-D103</f>
        <v>-100000</v>
      </c>
      <c r="F104" s="25"/>
      <c r="G104" s="51"/>
      <c r="H104" s="51"/>
      <c r="I104" s="22"/>
    </row>
    <row r="105" spans="1:13" ht="16.8" thickTop="1"/>
    <row r="106" spans="1:13">
      <c r="B106" s="4" t="s">
        <v>933</v>
      </c>
      <c r="D106" s="4">
        <v>5000000</v>
      </c>
      <c r="I106" s="4">
        <f>+D106*0.8</f>
        <v>4000000</v>
      </c>
    </row>
    <row r="107" spans="1:13">
      <c r="B107" s="4" t="s">
        <v>934</v>
      </c>
      <c r="D107" s="161">
        <v>7.0000000000000007E-2</v>
      </c>
    </row>
    <row r="109" spans="1:13">
      <c r="B109" s="4" t="s">
        <v>929</v>
      </c>
      <c r="D109" s="4">
        <v>100000</v>
      </c>
    </row>
    <row r="110" spans="1:13">
      <c r="B110" s="4" t="s">
        <v>930</v>
      </c>
      <c r="D110" s="4">
        <v>4</v>
      </c>
    </row>
    <row r="112" spans="1:13">
      <c r="A112" s="4" t="s">
        <v>935</v>
      </c>
      <c r="F112" s="4" t="s">
        <v>936</v>
      </c>
      <c r="J112" s="4" t="s">
        <v>941</v>
      </c>
      <c r="M112" s="4" t="s">
        <v>946</v>
      </c>
    </row>
    <row r="113" spans="1:17">
      <c r="B113" s="4" t="s">
        <v>909</v>
      </c>
      <c r="D113" s="4">
        <f>+D100</f>
        <v>4000000</v>
      </c>
      <c r="N113" s="4" t="s">
        <v>947</v>
      </c>
      <c r="O113" s="4" t="s">
        <v>948</v>
      </c>
    </row>
    <row r="114" spans="1:17">
      <c r="B114" s="4" t="s">
        <v>910</v>
      </c>
      <c r="D114" s="51">
        <f>+F101</f>
        <v>2000000</v>
      </c>
      <c r="F114" s="4" t="s">
        <v>937</v>
      </c>
      <c r="H114" s="4">
        <f>+D119</f>
        <v>730000</v>
      </c>
      <c r="J114" s="4" t="s">
        <v>942</v>
      </c>
      <c r="K114" s="4">
        <f>+D121</f>
        <v>400000</v>
      </c>
      <c r="M114" s="4" t="s">
        <v>937</v>
      </c>
      <c r="N114" s="4">
        <v>75000</v>
      </c>
      <c r="O114" s="4">
        <f>+H114+N114</f>
        <v>805000</v>
      </c>
    </row>
    <row r="115" spans="1:17">
      <c r="B115" s="4" t="s">
        <v>911</v>
      </c>
      <c r="D115" s="4">
        <f>+D113-D114</f>
        <v>2000000</v>
      </c>
      <c r="F115" s="4" t="s">
        <v>938</v>
      </c>
      <c r="H115" s="4">
        <f>+I106</f>
        <v>4000000</v>
      </c>
      <c r="J115" s="4" t="s">
        <v>943</v>
      </c>
      <c r="K115" s="4">
        <f>+D106</f>
        <v>5000000</v>
      </c>
      <c r="M115" s="4" t="s">
        <v>938</v>
      </c>
      <c r="N115" s="4">
        <v>600000</v>
      </c>
      <c r="O115" s="4">
        <f>+H115+N115</f>
        <v>4600000</v>
      </c>
    </row>
    <row r="116" spans="1:17">
      <c r="B116" s="4" t="s">
        <v>913</v>
      </c>
      <c r="D116" s="51">
        <f>+F103</f>
        <v>400000</v>
      </c>
      <c r="F116" s="4" t="s">
        <v>939</v>
      </c>
      <c r="H116" s="205">
        <f>+H114/H115</f>
        <v>0.1825</v>
      </c>
      <c r="J116" s="4" t="s">
        <v>944</v>
      </c>
      <c r="K116" s="205">
        <f>+K114/K115</f>
        <v>0.08</v>
      </c>
      <c r="M116" s="4" t="s">
        <v>939</v>
      </c>
      <c r="O116" s="205">
        <f>+O114/O115</f>
        <v>0.17499999999999999</v>
      </c>
      <c r="P116" s="4" t="s">
        <v>949</v>
      </c>
    </row>
    <row r="117" spans="1:17">
      <c r="B117" s="4" t="s">
        <v>912</v>
      </c>
      <c r="D117" s="4">
        <f>+D115-D116</f>
        <v>1600000</v>
      </c>
    </row>
    <row r="118" spans="1:17">
      <c r="B118" s="165" t="s">
        <v>914</v>
      </c>
      <c r="D118" s="51">
        <f>+SUM(I101,I103)</f>
        <v>870000</v>
      </c>
      <c r="F118" s="4" t="s">
        <v>940</v>
      </c>
      <c r="H118" s="189">
        <f>+H114-I106*D107</f>
        <v>450000</v>
      </c>
      <c r="J118" s="4" t="s">
        <v>945</v>
      </c>
      <c r="K118" s="189">
        <f>+K114-D106*D107</f>
        <v>49999.999999999942</v>
      </c>
      <c r="M118" s="4" t="s">
        <v>940</v>
      </c>
      <c r="O118" s="28">
        <f>+O114-O115*D107</f>
        <v>482999.99999999994</v>
      </c>
      <c r="P118" s="4" t="s">
        <v>950</v>
      </c>
    </row>
    <row r="119" spans="1:17">
      <c r="B119" s="165" t="s">
        <v>915</v>
      </c>
      <c r="D119" s="4">
        <f>+D117-D118</f>
        <v>730000</v>
      </c>
    </row>
    <row r="120" spans="1:17">
      <c r="B120" s="165" t="s">
        <v>916</v>
      </c>
      <c r="D120" s="51">
        <f>+SUM(H101,H103,-D118)</f>
        <v>330000</v>
      </c>
      <c r="P120" s="4" t="s">
        <v>951</v>
      </c>
    </row>
    <row r="121" spans="1:17">
      <c r="B121" s="165" t="s">
        <v>917</v>
      </c>
      <c r="D121" s="4">
        <f>+D119-D120</f>
        <v>400000</v>
      </c>
    </row>
    <row r="122" spans="1:17">
      <c r="B122" s="4" t="s">
        <v>918</v>
      </c>
      <c r="D122" s="4">
        <f>+SUM(G101:G103)-SUM(H101:H103)</f>
        <v>500000</v>
      </c>
    </row>
    <row r="123" spans="1:17" ht="16.8" thickBot="1">
      <c r="B123" s="4" t="s">
        <v>919</v>
      </c>
      <c r="D123" s="57">
        <f>+D121-D122</f>
        <v>-100000</v>
      </c>
    </row>
    <row r="124" spans="1:17" ht="16.8" thickTop="1"/>
    <row r="126" spans="1:17" ht="18" customHeight="1">
      <c r="A126" s="13" t="s">
        <v>1065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/>
    </row>
    <row r="127" spans="1:17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/>
    </row>
    <row r="128" spans="1:17">
      <c r="A128" s="1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8"/>
    </row>
    <row r="129" spans="1:18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1"/>
    </row>
    <row r="131" spans="1:18">
      <c r="B131" s="4" t="s">
        <v>1066</v>
      </c>
      <c r="F131" s="4" t="s">
        <v>1083</v>
      </c>
      <c r="H131" s="4" t="s">
        <v>1085</v>
      </c>
      <c r="K131" s="4" t="s">
        <v>1087</v>
      </c>
      <c r="O131" s="4" t="s">
        <v>1059</v>
      </c>
      <c r="Q131" s="4" t="s">
        <v>934</v>
      </c>
    </row>
    <row r="132" spans="1:18">
      <c r="F132" s="4" t="s">
        <v>1084</v>
      </c>
      <c r="H132" s="4" t="s">
        <v>1086</v>
      </c>
      <c r="O132" s="26"/>
      <c r="P132" s="24" t="s">
        <v>1060</v>
      </c>
      <c r="R132" s="4" t="s">
        <v>1063</v>
      </c>
    </row>
    <row r="133" spans="1:18">
      <c r="C133" s="4" t="s">
        <v>1081</v>
      </c>
      <c r="D133" s="4" t="s">
        <v>1082</v>
      </c>
      <c r="H133" s="4" t="s">
        <v>1082</v>
      </c>
      <c r="K133" s="4" t="s">
        <v>1081</v>
      </c>
      <c r="L133" s="4" t="s">
        <v>1082</v>
      </c>
      <c r="O133" s="237"/>
      <c r="P133" s="244">
        <v>0.75</v>
      </c>
      <c r="Q133" s="161">
        <v>0.08</v>
      </c>
      <c r="R133" s="242">
        <f>+Q133*0.6</f>
        <v>4.8000000000000001E-2</v>
      </c>
    </row>
    <row r="134" spans="1:18">
      <c r="B134" s="4" t="s">
        <v>1067</v>
      </c>
      <c r="C134" s="4">
        <v>300</v>
      </c>
      <c r="D134" s="4">
        <v>2500</v>
      </c>
      <c r="F134" s="28">
        <f>+C134*D134</f>
        <v>750000</v>
      </c>
      <c r="H134" s="4">
        <v>3000</v>
      </c>
      <c r="I134" s="28">
        <f>+C134*H134</f>
        <v>900000</v>
      </c>
      <c r="K134" s="4">
        <v>380</v>
      </c>
      <c r="L134" s="4">
        <v>2250</v>
      </c>
      <c r="M134" s="28">
        <f>+K134*L134</f>
        <v>855000</v>
      </c>
      <c r="N134" s="4" t="s">
        <v>1090</v>
      </c>
      <c r="O134" s="237"/>
      <c r="P134" s="244"/>
    </row>
    <row r="135" spans="1:18">
      <c r="B135" s="4" t="s">
        <v>1068</v>
      </c>
      <c r="O135" s="237"/>
      <c r="P135" s="244"/>
    </row>
    <row r="136" spans="1:18">
      <c r="B136" s="4" t="s">
        <v>1069</v>
      </c>
      <c r="C136" s="4">
        <v>70</v>
      </c>
      <c r="D136" s="4">
        <f>+D134</f>
        <v>2500</v>
      </c>
      <c r="E136" s="4">
        <f>+C136*D136</f>
        <v>175000</v>
      </c>
      <c r="I136" s="4">
        <f>+C136*H134</f>
        <v>210000</v>
      </c>
      <c r="K136" s="243">
        <v>8</v>
      </c>
      <c r="M136" s="4">
        <f>+(C136+K136)*L134</f>
        <v>175500</v>
      </c>
      <c r="O136" s="237"/>
      <c r="P136" s="245" t="s">
        <v>1088</v>
      </c>
    </row>
    <row r="137" spans="1:18">
      <c r="B137" s="4" t="s">
        <v>1070</v>
      </c>
      <c r="C137" s="4">
        <v>60</v>
      </c>
      <c r="D137" s="4">
        <f>+D134</f>
        <v>2500</v>
      </c>
      <c r="E137" s="4">
        <f>+C137*D137</f>
        <v>150000</v>
      </c>
      <c r="I137" s="4">
        <f>+C137*H134</f>
        <v>180000</v>
      </c>
      <c r="K137" s="243">
        <v>12</v>
      </c>
      <c r="M137" s="4">
        <f>+(C137+K137)*L134</f>
        <v>162000</v>
      </c>
      <c r="O137" s="237"/>
      <c r="P137" s="244">
        <v>0.25</v>
      </c>
      <c r="Q137" s="161">
        <v>0.12</v>
      </c>
    </row>
    <row r="138" spans="1:18">
      <c r="B138" s="4" t="s">
        <v>1071</v>
      </c>
      <c r="E138" s="51">
        <v>125000</v>
      </c>
      <c r="F138" s="51">
        <f>+SUM(E136:E138)</f>
        <v>450000</v>
      </c>
      <c r="I138" s="51">
        <f>+E138/D134*H134</f>
        <v>150000</v>
      </c>
      <c r="M138" s="51">
        <f>+E138/D134*L134</f>
        <v>112500</v>
      </c>
      <c r="O138" s="237"/>
      <c r="P138" s="244"/>
    </row>
    <row r="139" spans="1:18">
      <c r="B139" s="4" t="s">
        <v>1072</v>
      </c>
      <c r="F139" s="4">
        <f>+F134-F138</f>
        <v>300000</v>
      </c>
      <c r="I139" s="4">
        <f>+I134-SUM(I136:I138)</f>
        <v>360000</v>
      </c>
      <c r="M139" s="4">
        <f>+M134-SUM(M136:M138)</f>
        <v>405000</v>
      </c>
      <c r="O139" s="238"/>
      <c r="P139" s="240"/>
      <c r="Q139" s="161"/>
    </row>
    <row r="140" spans="1:18">
      <c r="B140" s="4" t="s">
        <v>1073</v>
      </c>
      <c r="F140" s="51">
        <v>50000</v>
      </c>
      <c r="I140" s="51">
        <f>+F140*H134/D134</f>
        <v>60000</v>
      </c>
      <c r="M140" s="51">
        <f>+F140/D134*L134</f>
        <v>45000</v>
      </c>
    </row>
    <row r="141" spans="1:18">
      <c r="B141" s="4" t="s">
        <v>1074</v>
      </c>
      <c r="F141" s="4">
        <f>+F139-F140</f>
        <v>250000</v>
      </c>
      <c r="G141" s="242">
        <f>+F141/F134</f>
        <v>0.33333333333333331</v>
      </c>
      <c r="I141" s="4">
        <f>+I139-I140</f>
        <v>300000</v>
      </c>
      <c r="J141" s="242">
        <f>+I141/I134</f>
        <v>0.33333333333333331</v>
      </c>
      <c r="M141" s="4">
        <f>+M139-M140</f>
        <v>360000</v>
      </c>
      <c r="N141" s="242">
        <f>+M141/M134</f>
        <v>0.42105263157894735</v>
      </c>
      <c r="R141" s="176">
        <f>+R133*P133+Q137*P137</f>
        <v>6.6000000000000003E-2</v>
      </c>
    </row>
    <row r="142" spans="1:18">
      <c r="B142" s="4" t="s">
        <v>1075</v>
      </c>
    </row>
    <row r="143" spans="1:18">
      <c r="B143" s="4" t="s">
        <v>1076</v>
      </c>
      <c r="E143" s="4">
        <v>132400</v>
      </c>
      <c r="I143" s="4">
        <f>+E143</f>
        <v>132400</v>
      </c>
      <c r="K143" s="243">
        <v>7600</v>
      </c>
      <c r="M143" s="4">
        <f>+E143+K143</f>
        <v>140000</v>
      </c>
    </row>
    <row r="144" spans="1:18">
      <c r="B144" s="4" t="s">
        <v>1077</v>
      </c>
      <c r="E144" s="51">
        <v>63600</v>
      </c>
      <c r="F144" s="51">
        <f>+SUM(E143:E144)</f>
        <v>196000</v>
      </c>
      <c r="H144" s="243">
        <v>14000</v>
      </c>
      <c r="I144" s="51">
        <f>+E144+H144</f>
        <v>77600</v>
      </c>
      <c r="K144" s="243">
        <v>12400</v>
      </c>
      <c r="M144" s="51">
        <f>+E144+K144</f>
        <v>76000</v>
      </c>
    </row>
    <row r="145" spans="1:14">
      <c r="B145" s="4" t="s">
        <v>1078</v>
      </c>
      <c r="F145" s="4">
        <f>+F141-F144</f>
        <v>54000</v>
      </c>
      <c r="I145" s="4">
        <f>+I141-SUM(I143:I144)</f>
        <v>90000</v>
      </c>
      <c r="M145" s="4">
        <f>+M141-SUM(M143:M144)</f>
        <v>144000</v>
      </c>
    </row>
    <row r="146" spans="1:14">
      <c r="B146" s="4" t="s">
        <v>1079</v>
      </c>
      <c r="F146" s="4">
        <f>+F145*0.4</f>
        <v>21600</v>
      </c>
      <c r="I146" s="4">
        <f>+I145*0.4</f>
        <v>36000</v>
      </c>
      <c r="M146" s="4">
        <f>+M145*0.4</f>
        <v>57600</v>
      </c>
    </row>
    <row r="147" spans="1:14" ht="16.8" thickBot="1">
      <c r="B147" s="4" t="s">
        <v>1080</v>
      </c>
      <c r="F147" s="41">
        <f>+F145-F146</f>
        <v>32400</v>
      </c>
      <c r="I147" s="41">
        <f>+I145-I146</f>
        <v>54000</v>
      </c>
      <c r="M147" s="41">
        <f>+M145-M146</f>
        <v>86400</v>
      </c>
      <c r="N147" s="4" t="s">
        <v>1090</v>
      </c>
    </row>
    <row r="148" spans="1:14" ht="16.8" thickTop="1"/>
    <row r="149" spans="1:14">
      <c r="B149" s="4" t="s">
        <v>1089</v>
      </c>
      <c r="F149" s="28">
        <f>+F144/G141/C134</f>
        <v>1960</v>
      </c>
      <c r="I149" s="28">
        <f>+SUM(I143:I144)/J141/C134</f>
        <v>2100</v>
      </c>
      <c r="M149" s="28">
        <f>+SUM(M143:M144)/N141/K134</f>
        <v>1350</v>
      </c>
      <c r="N149" s="4" t="s">
        <v>1091</v>
      </c>
    </row>
    <row r="150" spans="1:14">
      <c r="B150" s="4" t="s">
        <v>1092</v>
      </c>
      <c r="F150" s="176">
        <f>+(D134-F149)/D134</f>
        <v>0.216</v>
      </c>
      <c r="G150" s="161"/>
      <c r="H150" s="161"/>
      <c r="I150" s="177">
        <f>+(H134-I149)/H134</f>
        <v>0.3</v>
      </c>
      <c r="J150" s="161"/>
      <c r="K150" s="161"/>
      <c r="L150" s="161"/>
      <c r="M150" s="177">
        <f>+(L134-M149)/L134</f>
        <v>0.4</v>
      </c>
    </row>
    <row r="151" spans="1:14">
      <c r="B151" s="4" t="s">
        <v>1094</v>
      </c>
      <c r="C151" s="161">
        <v>0.2</v>
      </c>
      <c r="D151" s="4">
        <v>600000</v>
      </c>
      <c r="F151" s="4">
        <f>+F134*$C151+$D$151</f>
        <v>750000</v>
      </c>
      <c r="I151" s="4">
        <f>+I134*$C151+$D$151</f>
        <v>780000</v>
      </c>
      <c r="M151" s="4">
        <f>+M134*$C151+$D$151</f>
        <v>771000</v>
      </c>
    </row>
    <row r="152" spans="1:14">
      <c r="B152" s="4" t="s">
        <v>1093</v>
      </c>
      <c r="F152" s="176">
        <f>+F147/F151</f>
        <v>4.3200000000000002E-2</v>
      </c>
      <c r="G152" s="242"/>
      <c r="H152" s="242"/>
      <c r="I152" s="176">
        <f>+I147/I151</f>
        <v>6.9230769230769235E-2</v>
      </c>
      <c r="J152" s="242"/>
      <c r="K152" s="242"/>
      <c r="L152" s="242"/>
      <c r="M152" s="176">
        <f>+M147/M151</f>
        <v>0.11206225680933853</v>
      </c>
    </row>
    <row r="154" spans="1:14">
      <c r="A154" s="4" t="s">
        <v>1095</v>
      </c>
      <c r="B154" s="4" t="s">
        <v>1096</v>
      </c>
    </row>
    <row r="155" spans="1:14">
      <c r="D155" s="4" t="s">
        <v>1097</v>
      </c>
    </row>
    <row r="156" spans="1:14">
      <c r="D156" s="246" t="s">
        <v>1098</v>
      </c>
      <c r="E156" s="247" t="s">
        <v>1100</v>
      </c>
    </row>
    <row r="157" spans="1:14">
      <c r="D157" s="58" t="s">
        <v>1099</v>
      </c>
      <c r="E157" s="248"/>
      <c r="F157" s="4" t="s">
        <v>1101</v>
      </c>
    </row>
    <row r="158" spans="1:14">
      <c r="D158" s="4" t="s">
        <v>1102</v>
      </c>
    </row>
    <row r="159" spans="1:14">
      <c r="F159" s="28">
        <v>2806</v>
      </c>
      <c r="I159" s="28">
        <v>2956</v>
      </c>
      <c r="M159" s="28">
        <v>1860</v>
      </c>
    </row>
    <row r="161" spans="1:13">
      <c r="A161" s="4" t="s">
        <v>1103</v>
      </c>
      <c r="B161" s="4" t="s">
        <v>1104</v>
      </c>
      <c r="F161" s="28">
        <f>+F147-F151*$R$141</f>
        <v>-17100</v>
      </c>
      <c r="I161" s="28">
        <f>+I147-I151*$R$141</f>
        <v>2520</v>
      </c>
      <c r="M161" s="28">
        <f>+M147-M151*$R$141</f>
        <v>35514</v>
      </c>
    </row>
  </sheetData>
  <mergeCells count="2">
    <mergeCell ref="E85:E88"/>
    <mergeCell ref="E156:E157"/>
  </mergeCells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2802F-1513-4860-A1C4-878B8FDC2D4E}">
  <sheetPr>
    <pageSetUpPr fitToPage="1"/>
  </sheetPr>
  <dimension ref="A1:Q15"/>
  <sheetViews>
    <sheetView zoomScale="90" zoomScaleNormal="90" workbookViewId="0">
      <selection activeCell="F32" sqref="F32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396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193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2" spans="1:17" ht="18" customHeight="1">
      <c r="A12" s="13" t="s">
        <v>188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</row>
    <row r="14" spans="1:17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</row>
    <row r="15" spans="1:17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</row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7"/>
  <sheetViews>
    <sheetView zoomScale="90" zoomScaleNormal="90" workbookViewId="0">
      <selection activeCell="E13" sqref="E13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85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193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 t="s">
        <v>226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 t="s">
        <v>227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 t="s">
        <v>228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0" spans="1:17">
      <c r="A10" s="4" t="s">
        <v>206</v>
      </c>
      <c r="G10" s="4" t="s">
        <v>199</v>
      </c>
      <c r="K10" s="4" t="s">
        <v>200</v>
      </c>
    </row>
    <row r="11" spans="1:17">
      <c r="G11" s="4" t="s">
        <v>225</v>
      </c>
    </row>
    <row r="12" spans="1:17">
      <c r="B12" s="4" t="s">
        <v>207</v>
      </c>
      <c r="C12" s="4">
        <v>500</v>
      </c>
      <c r="D12" s="4" t="s">
        <v>208</v>
      </c>
      <c r="G12" s="4" t="s">
        <v>210</v>
      </c>
      <c r="K12" s="4" t="s">
        <v>210</v>
      </c>
    </row>
    <row r="13" spans="1:17">
      <c r="B13" s="4" t="s">
        <v>215</v>
      </c>
      <c r="C13" s="4">
        <v>120</v>
      </c>
      <c r="D13" s="4" t="s">
        <v>208</v>
      </c>
      <c r="G13" s="26" t="s">
        <v>211</v>
      </c>
      <c r="H13" s="24" t="s">
        <v>214</v>
      </c>
      <c r="K13" s="26" t="s">
        <v>211</v>
      </c>
      <c r="L13" s="24" t="s">
        <v>214</v>
      </c>
      <c r="M13" s="59"/>
    </row>
    <row r="14" spans="1:17">
      <c r="B14" s="4" t="s">
        <v>216</v>
      </c>
      <c r="C14" s="4">
        <v>24000</v>
      </c>
      <c r="D14" s="4" t="s">
        <v>209</v>
      </c>
      <c r="E14" s="58" t="s">
        <v>223</v>
      </c>
      <c r="F14" s="4">
        <v>0</v>
      </c>
      <c r="G14" s="54">
        <v>0</v>
      </c>
      <c r="H14" s="53">
        <v>250</v>
      </c>
      <c r="I14" s="59">
        <f>+F19</f>
        <v>30000</v>
      </c>
      <c r="J14" s="4">
        <v>0</v>
      </c>
      <c r="K14" s="54">
        <f>+H19</f>
        <v>0</v>
      </c>
      <c r="L14" s="53">
        <f>+K14+K19-L19</f>
        <v>250</v>
      </c>
      <c r="M14" s="59">
        <f>+J19-M19</f>
        <v>30000</v>
      </c>
    </row>
    <row r="15" spans="1:17">
      <c r="B15" s="4" t="s">
        <v>217</v>
      </c>
      <c r="C15" s="4">
        <v>30</v>
      </c>
      <c r="D15" s="4" t="s">
        <v>208</v>
      </c>
      <c r="E15" s="58" t="s">
        <v>224</v>
      </c>
      <c r="F15" s="4">
        <v>0</v>
      </c>
      <c r="G15" s="54"/>
      <c r="H15" s="53"/>
      <c r="I15" s="59">
        <f>+F20</f>
        <v>24000</v>
      </c>
      <c r="J15" s="4">
        <v>0</v>
      </c>
      <c r="K15" s="54"/>
      <c r="L15" s="53"/>
      <c r="M15" s="59">
        <f>+J20-M20</f>
        <v>20000</v>
      </c>
    </row>
    <row r="16" spans="1:17">
      <c r="B16" s="4" t="s">
        <v>218</v>
      </c>
      <c r="C16" s="4">
        <v>10000</v>
      </c>
      <c r="D16" s="4" t="s">
        <v>209</v>
      </c>
      <c r="G16" s="25"/>
      <c r="H16" s="53"/>
      <c r="I16" s="59"/>
      <c r="K16" s="25"/>
      <c r="L16" s="53"/>
      <c r="M16" s="59"/>
    </row>
    <row r="17" spans="2:13">
      <c r="B17" s="4" t="s">
        <v>219</v>
      </c>
      <c r="C17" s="4">
        <v>8000</v>
      </c>
      <c r="D17" s="4" t="s">
        <v>209</v>
      </c>
      <c r="G17" s="24"/>
      <c r="H17" s="22"/>
      <c r="I17" s="59"/>
      <c r="K17" s="24"/>
      <c r="L17" s="22"/>
      <c r="M17" s="59"/>
    </row>
    <row r="18" spans="2:13">
      <c r="G18" s="53" t="s">
        <v>212</v>
      </c>
      <c r="H18" s="24" t="s">
        <v>213</v>
      </c>
      <c r="I18" s="59"/>
      <c r="K18" s="53" t="s">
        <v>212</v>
      </c>
      <c r="L18" s="24" t="s">
        <v>213</v>
      </c>
      <c r="M18" s="59"/>
    </row>
    <row r="19" spans="2:13">
      <c r="B19" s="4" t="s">
        <v>222</v>
      </c>
      <c r="E19" s="58" t="s">
        <v>223</v>
      </c>
      <c r="F19" s="4">
        <f>+G19*C13</f>
        <v>30000</v>
      </c>
      <c r="G19" s="53">
        <v>250</v>
      </c>
      <c r="H19" s="53">
        <v>0</v>
      </c>
      <c r="I19" s="59">
        <v>0</v>
      </c>
      <c r="J19" s="4">
        <f>+K19*C13</f>
        <v>36000</v>
      </c>
      <c r="K19" s="53">
        <v>300</v>
      </c>
      <c r="L19" s="53">
        <v>50</v>
      </c>
      <c r="M19" s="59">
        <f>+J19*L19/K19</f>
        <v>6000</v>
      </c>
    </row>
    <row r="20" spans="2:13">
      <c r="B20" s="4" t="s">
        <v>220</v>
      </c>
      <c r="E20" s="58" t="s">
        <v>224</v>
      </c>
      <c r="F20" s="4">
        <f>+C14</f>
        <v>24000</v>
      </c>
      <c r="G20" s="53"/>
      <c r="H20" s="53"/>
      <c r="I20" s="59">
        <v>0</v>
      </c>
      <c r="J20" s="4">
        <f>+C14</f>
        <v>24000</v>
      </c>
      <c r="K20" s="53"/>
      <c r="L20" s="53"/>
      <c r="M20" s="60">
        <f>+J20*L19/K19</f>
        <v>4000</v>
      </c>
    </row>
    <row r="21" spans="2:13">
      <c r="B21" s="4" t="s">
        <v>221</v>
      </c>
      <c r="G21" s="23"/>
      <c r="H21" s="23"/>
      <c r="K21" s="23"/>
      <c r="L21" s="23"/>
    </row>
    <row r="25" spans="2:13">
      <c r="B25" s="4" t="s">
        <v>201</v>
      </c>
      <c r="F25" s="4" t="s">
        <v>202</v>
      </c>
    </row>
    <row r="26" spans="2:13">
      <c r="C26" s="4" t="s">
        <v>199</v>
      </c>
      <c r="D26" s="4" t="s">
        <v>200</v>
      </c>
      <c r="G26" s="4" t="s">
        <v>199</v>
      </c>
      <c r="H26" s="4" t="s">
        <v>200</v>
      </c>
    </row>
    <row r="27" spans="2:13">
      <c r="B27" s="4" t="s">
        <v>194</v>
      </c>
      <c r="C27" s="4">
        <f>+H14*C12</f>
        <v>125000</v>
      </c>
      <c r="D27" s="4">
        <f>+L14*C12</f>
        <v>125000</v>
      </c>
      <c r="F27" s="4" t="s">
        <v>194</v>
      </c>
      <c r="G27" s="4">
        <f>+H14*C12</f>
        <v>125000</v>
      </c>
      <c r="H27" s="4">
        <f>+L14*C12</f>
        <v>125000</v>
      </c>
    </row>
    <row r="28" spans="2:13">
      <c r="B28" s="4" t="s">
        <v>195</v>
      </c>
      <c r="C28" s="51">
        <f>+SUM(I14:I15)</f>
        <v>54000</v>
      </c>
      <c r="D28" s="61">
        <f>+SUM(M14:M15)</f>
        <v>50000</v>
      </c>
      <c r="F28" s="43" t="s">
        <v>203</v>
      </c>
      <c r="G28" s="51">
        <f>+I14+H14*C15</f>
        <v>37500</v>
      </c>
      <c r="H28" s="51">
        <f>+M14+L14*C15</f>
        <v>37500</v>
      </c>
    </row>
    <row r="29" spans="2:13">
      <c r="B29" s="4" t="s">
        <v>196</v>
      </c>
      <c r="C29" s="4">
        <f>+C27-C28</f>
        <v>71000</v>
      </c>
      <c r="D29" s="4">
        <f>+D27-D28</f>
        <v>75000</v>
      </c>
      <c r="F29" s="43" t="s">
        <v>204</v>
      </c>
      <c r="G29" s="4">
        <f>+G27-G28</f>
        <v>87500</v>
      </c>
      <c r="H29" s="4">
        <f>+H27-H28</f>
        <v>87500</v>
      </c>
    </row>
    <row r="30" spans="2:13">
      <c r="B30" s="4" t="s">
        <v>197</v>
      </c>
      <c r="C30" s="4">
        <f>+H14*C15+C16+C17</f>
        <v>25500</v>
      </c>
      <c r="D30" s="4">
        <f>+H14*C15+SUM(C16:C17)</f>
        <v>25500</v>
      </c>
      <c r="F30" s="43" t="s">
        <v>205</v>
      </c>
      <c r="G30" s="4">
        <f>+SUM(C14,C16:C17)</f>
        <v>42000</v>
      </c>
      <c r="H30" s="4">
        <f>+SUM(C14,C16:C17)</f>
        <v>42000</v>
      </c>
    </row>
    <row r="31" spans="2:13" ht="16.8" thickBot="1">
      <c r="B31" s="4" t="s">
        <v>198</v>
      </c>
      <c r="C31" s="57">
        <f>+C29-C30</f>
        <v>45500</v>
      </c>
      <c r="D31" s="41">
        <f>+D29-D30</f>
        <v>49500</v>
      </c>
      <c r="F31" s="4" t="s">
        <v>198</v>
      </c>
      <c r="G31" s="57">
        <f>+G29-G30</f>
        <v>45500</v>
      </c>
      <c r="H31" s="57">
        <f>+H29-H30</f>
        <v>45500</v>
      </c>
    </row>
    <row r="32" spans="2:13" ht="16.8" thickTop="1"/>
    <row r="34" spans="1:17" ht="18" customHeight="1">
      <c r="A34" s="13" t="s">
        <v>188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7">
      <c r="A35" s="16" t="s">
        <v>189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</row>
    <row r="36" spans="1:17">
      <c r="A36" s="16" t="s">
        <v>190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</row>
    <row r="37" spans="1:17">
      <c r="A37" s="19" t="s">
        <v>192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1"/>
    </row>
    <row r="40" spans="1:17">
      <c r="D40" s="4" t="s">
        <v>175</v>
      </c>
      <c r="E40" s="4" t="s">
        <v>176</v>
      </c>
      <c r="G40" s="4" t="s">
        <v>164</v>
      </c>
      <c r="K40" s="4" t="s">
        <v>177</v>
      </c>
    </row>
    <row r="41" spans="1:17">
      <c r="B41" s="4" t="s">
        <v>172</v>
      </c>
      <c r="D41" s="4">
        <v>14400</v>
      </c>
      <c r="G41" s="26" t="s">
        <v>165</v>
      </c>
      <c r="H41" s="24" t="s">
        <v>166</v>
      </c>
      <c r="K41" s="26" t="s">
        <v>165</v>
      </c>
      <c r="L41" s="24" t="s">
        <v>166</v>
      </c>
    </row>
    <row r="42" spans="1:17">
      <c r="B42" s="4" t="s">
        <v>173</v>
      </c>
      <c r="D42" s="4">
        <v>5760000</v>
      </c>
      <c r="E42" s="4">
        <f>+D42/D41</f>
        <v>400</v>
      </c>
      <c r="G42" s="54">
        <v>300</v>
      </c>
      <c r="H42" s="53">
        <v>1200</v>
      </c>
      <c r="J42" s="4" t="s">
        <v>167</v>
      </c>
      <c r="K42" s="54">
        <v>192000</v>
      </c>
      <c r="L42" s="53">
        <f>+K42+K47-L47</f>
        <v>732000</v>
      </c>
    </row>
    <row r="43" spans="1:17">
      <c r="B43" s="4" t="s">
        <v>174</v>
      </c>
      <c r="D43" s="4">
        <v>11520000</v>
      </c>
      <c r="E43" s="4">
        <f>+D43/D41</f>
        <v>800</v>
      </c>
      <c r="G43" s="54">
        <f>+G42*0.6</f>
        <v>180</v>
      </c>
      <c r="H43" s="53">
        <f>+H42</f>
        <v>1200</v>
      </c>
      <c r="J43" s="4" t="s">
        <v>168</v>
      </c>
      <c r="K43" s="54">
        <f>+$E$42*G43</f>
        <v>72000</v>
      </c>
      <c r="L43" s="53">
        <f>+$E$42*H43</f>
        <v>480000</v>
      </c>
    </row>
    <row r="44" spans="1:17">
      <c r="G44" s="25"/>
      <c r="H44" s="53"/>
      <c r="J44" s="4" t="s">
        <v>169</v>
      </c>
      <c r="K44" s="25">
        <f>+$E$43*G43</f>
        <v>144000</v>
      </c>
      <c r="L44" s="53">
        <f>+$E$43*H43</f>
        <v>960000</v>
      </c>
    </row>
    <row r="45" spans="1:17">
      <c r="B45" s="4" t="s">
        <v>179</v>
      </c>
      <c r="D45" s="4">
        <v>3000</v>
      </c>
      <c r="E45" s="4" t="s">
        <v>163</v>
      </c>
      <c r="G45" s="24"/>
      <c r="H45" s="22"/>
      <c r="K45" s="24"/>
      <c r="L45" s="22"/>
    </row>
    <row r="46" spans="1:17">
      <c r="A46" s="4" t="s">
        <v>152</v>
      </c>
      <c r="D46" s="4" t="s">
        <v>162</v>
      </c>
      <c r="G46" s="53" t="s">
        <v>171</v>
      </c>
      <c r="H46" s="24" t="s">
        <v>170</v>
      </c>
      <c r="K46" s="53" t="s">
        <v>171</v>
      </c>
      <c r="L46" s="24" t="s">
        <v>170</v>
      </c>
    </row>
    <row r="47" spans="1:17">
      <c r="B47" s="4" t="s">
        <v>153</v>
      </c>
      <c r="D47" s="4">
        <v>680000</v>
      </c>
      <c r="E47" s="4" t="s">
        <v>161</v>
      </c>
      <c r="G47" s="53">
        <f>+H42+H47-G42</f>
        <v>1050</v>
      </c>
      <c r="H47" s="53">
        <v>150</v>
      </c>
      <c r="J47" s="4" t="s">
        <v>167</v>
      </c>
      <c r="K47" s="53">
        <f>+D48+D47-D49</f>
        <v>630000</v>
      </c>
      <c r="L47" s="53">
        <f>+K47*H47/G47</f>
        <v>90000</v>
      </c>
    </row>
    <row r="48" spans="1:17">
      <c r="B48" s="4" t="s">
        <v>154</v>
      </c>
      <c r="D48" s="4">
        <v>142000</v>
      </c>
      <c r="E48" s="4" t="s">
        <v>161</v>
      </c>
      <c r="G48" s="53">
        <f>+H43+H48-G43</f>
        <v>1080</v>
      </c>
      <c r="H48" s="53">
        <f>+H47*0.4</f>
        <v>60</v>
      </c>
      <c r="J48" s="4" t="s">
        <v>168</v>
      </c>
      <c r="K48" s="53">
        <f>+$E$42*G48</f>
        <v>432000</v>
      </c>
      <c r="L48" s="53">
        <f>+$E$42*H48</f>
        <v>24000</v>
      </c>
    </row>
    <row r="49" spans="1:13">
      <c r="B49" s="4" t="s">
        <v>155</v>
      </c>
      <c r="D49" s="4">
        <v>192000</v>
      </c>
      <c r="E49" s="4" t="s">
        <v>161</v>
      </c>
      <c r="G49" s="23"/>
      <c r="H49" s="23"/>
      <c r="J49" s="4" t="s">
        <v>169</v>
      </c>
      <c r="K49" s="23">
        <f>+$E$43*G48</f>
        <v>864000</v>
      </c>
      <c r="L49" s="23">
        <f>+$E$43*H48</f>
        <v>48000</v>
      </c>
    </row>
    <row r="50" spans="1:13">
      <c r="B50" s="4" t="s">
        <v>156</v>
      </c>
      <c r="E50" s="4" t="s">
        <v>178</v>
      </c>
    </row>
    <row r="51" spans="1:13">
      <c r="B51" s="4" t="s">
        <v>159</v>
      </c>
      <c r="D51" s="4">
        <v>468000</v>
      </c>
      <c r="E51" s="4">
        <f>+D51-K48</f>
        <v>36000</v>
      </c>
      <c r="F51" s="4" t="s">
        <v>161</v>
      </c>
    </row>
    <row r="52" spans="1:13">
      <c r="B52" s="4" t="s">
        <v>160</v>
      </c>
      <c r="D52" s="4">
        <v>956000</v>
      </c>
      <c r="E52" s="4">
        <f>+D52-K49</f>
        <v>92000</v>
      </c>
      <c r="F52" s="4" t="s">
        <v>161</v>
      </c>
      <c r="G52" s="26" t="s">
        <v>180</v>
      </c>
      <c r="H52" s="24" t="s">
        <v>181</v>
      </c>
      <c r="K52" s="26" t="s">
        <v>180</v>
      </c>
      <c r="L52" s="24" t="s">
        <v>181</v>
      </c>
    </row>
    <row r="53" spans="1:13">
      <c r="B53" s="4" t="s">
        <v>157</v>
      </c>
      <c r="G53" s="54">
        <v>200</v>
      </c>
      <c r="H53" s="53">
        <f>+G53+G58-H58</f>
        <v>1000</v>
      </c>
      <c r="J53" s="4" t="s">
        <v>167</v>
      </c>
      <c r="K53" s="54">
        <v>128000</v>
      </c>
      <c r="L53" s="53">
        <f>+K53+K58-L58</f>
        <v>616000</v>
      </c>
    </row>
    <row r="54" spans="1:13">
      <c r="B54" s="4" t="s">
        <v>158</v>
      </c>
      <c r="D54" s="4">
        <v>200</v>
      </c>
      <c r="E54" s="4" t="s">
        <v>163</v>
      </c>
      <c r="G54" s="54"/>
      <c r="H54" s="53"/>
      <c r="J54" s="4" t="s">
        <v>168</v>
      </c>
      <c r="K54" s="54">
        <f>+$E$42*G53</f>
        <v>80000</v>
      </c>
      <c r="L54" s="53">
        <f>+$E$42*H53</f>
        <v>400000</v>
      </c>
    </row>
    <row r="55" spans="1:13">
      <c r="B55" s="4" t="s">
        <v>191</v>
      </c>
      <c r="D55" s="4">
        <v>504000</v>
      </c>
      <c r="E55" s="4" t="s">
        <v>161</v>
      </c>
      <c r="G55" s="25"/>
      <c r="H55" s="53"/>
      <c r="J55" s="4" t="s">
        <v>169</v>
      </c>
      <c r="K55" s="25">
        <f>+$E$43*G53</f>
        <v>160000</v>
      </c>
      <c r="L55" s="53">
        <f>+$E$43*H53</f>
        <v>800000</v>
      </c>
    </row>
    <row r="56" spans="1:13">
      <c r="G56" s="24"/>
      <c r="H56" s="22"/>
      <c r="K56" s="24"/>
      <c r="L56" s="22"/>
    </row>
    <row r="57" spans="1:13">
      <c r="G57" s="53" t="s">
        <v>166</v>
      </c>
      <c r="H57" s="24" t="s">
        <v>182</v>
      </c>
      <c r="K57" s="53" t="s">
        <v>166</v>
      </c>
      <c r="L57" s="24" t="s">
        <v>182</v>
      </c>
    </row>
    <row r="58" spans="1:13">
      <c r="G58" s="53">
        <f>+H42</f>
        <v>1200</v>
      </c>
      <c r="H58" s="53">
        <v>400</v>
      </c>
      <c r="J58" s="4" t="s">
        <v>167</v>
      </c>
      <c r="K58" s="53">
        <f>+L42</f>
        <v>732000</v>
      </c>
      <c r="L58" s="53">
        <f>+K58*H58/G58</f>
        <v>244000</v>
      </c>
    </row>
    <row r="59" spans="1:13">
      <c r="G59" s="53"/>
      <c r="H59" s="53"/>
      <c r="J59" s="4" t="s">
        <v>168</v>
      </c>
      <c r="K59" s="54">
        <f t="shared" ref="K59:K60" si="0">+L43</f>
        <v>480000</v>
      </c>
      <c r="L59" s="53">
        <f>+$E$42*H58</f>
        <v>160000</v>
      </c>
    </row>
    <row r="60" spans="1:13">
      <c r="G60" s="23"/>
      <c r="H60" s="23"/>
      <c r="J60" s="4" t="s">
        <v>169</v>
      </c>
      <c r="K60" s="25">
        <f t="shared" si="0"/>
        <v>960000</v>
      </c>
      <c r="L60" s="23">
        <f>+$E$43*H58</f>
        <v>320000</v>
      </c>
    </row>
    <row r="61" spans="1:13" ht="16.8" thickBot="1">
      <c r="A61" s="56" t="s">
        <v>186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1:13">
      <c r="A62" s="43" t="s">
        <v>187</v>
      </c>
      <c r="G62" s="27"/>
      <c r="H62" s="27"/>
      <c r="K62" s="27"/>
      <c r="L62" s="27"/>
    </row>
    <row r="63" spans="1:13">
      <c r="B63" s="4" t="s">
        <v>86</v>
      </c>
      <c r="H63" s="4" t="s">
        <v>98</v>
      </c>
    </row>
    <row r="65" spans="2:13">
      <c r="B65" s="4" t="s">
        <v>87</v>
      </c>
      <c r="E65" s="4">
        <f>+H53*D45</f>
        <v>3000000</v>
      </c>
      <c r="H65" s="4" t="s">
        <v>87</v>
      </c>
      <c r="L65" s="4">
        <f>+H53*D45</f>
        <v>3000000</v>
      </c>
    </row>
    <row r="66" spans="2:13">
      <c r="B66" s="4" t="s">
        <v>88</v>
      </c>
      <c r="H66" s="4" t="s">
        <v>100</v>
      </c>
    </row>
    <row r="67" spans="2:13">
      <c r="C67" s="4" t="s">
        <v>89</v>
      </c>
      <c r="D67" s="4">
        <f>+SUM(K53:K55)</f>
        <v>368000</v>
      </c>
      <c r="I67" s="4" t="s">
        <v>89</v>
      </c>
      <c r="K67" s="4">
        <f>+SUM(K53:K54)</f>
        <v>208000</v>
      </c>
    </row>
    <row r="68" spans="2:13">
      <c r="C68" s="4" t="s">
        <v>90</v>
      </c>
      <c r="D68" s="51">
        <f>+SUM(K58:K60)</f>
        <v>2172000</v>
      </c>
      <c r="I68" s="4" t="s">
        <v>90</v>
      </c>
      <c r="K68" s="51">
        <f>+SUM(K58:K59)</f>
        <v>1212000</v>
      </c>
    </row>
    <row r="69" spans="2:13">
      <c r="C69" s="4" t="s">
        <v>91</v>
      </c>
      <c r="D69" s="4">
        <f>+SUM(D67:D68)</f>
        <v>2540000</v>
      </c>
      <c r="I69" s="4" t="s">
        <v>91</v>
      </c>
      <c r="K69" s="4">
        <f>+SUM(K67:K68)</f>
        <v>1420000</v>
      </c>
    </row>
    <row r="70" spans="2:13">
      <c r="C70" s="4" t="s">
        <v>92</v>
      </c>
      <c r="D70" s="51">
        <f>+SUM(L58:L60)</f>
        <v>724000</v>
      </c>
      <c r="I70" s="4" t="s">
        <v>92</v>
      </c>
      <c r="K70" s="51">
        <f>+SUM(L58:L59)</f>
        <v>404000</v>
      </c>
    </row>
    <row r="71" spans="2:13">
      <c r="C71" s="4" t="s">
        <v>93</v>
      </c>
      <c r="D71" s="4">
        <f>+D69-D70</f>
        <v>1816000</v>
      </c>
      <c r="I71" s="4" t="s">
        <v>93</v>
      </c>
      <c r="K71" s="4">
        <f>+K69-K70</f>
        <v>1016000</v>
      </c>
    </row>
    <row r="72" spans="2:13">
      <c r="C72" s="4" t="s">
        <v>94</v>
      </c>
      <c r="D72" s="51">
        <f>SUM(E51:E52)</f>
        <v>128000</v>
      </c>
      <c r="E72" s="51">
        <f>+SUM(D71:D72)</f>
        <v>1944000</v>
      </c>
      <c r="I72" s="4" t="s">
        <v>94</v>
      </c>
      <c r="K72" s="51">
        <f>+E51</f>
        <v>36000</v>
      </c>
      <c r="L72" s="51">
        <f>+SUM(K71:K72)</f>
        <v>1052000</v>
      </c>
    </row>
    <row r="73" spans="2:13">
      <c r="C73" s="4" t="s">
        <v>95</v>
      </c>
      <c r="E73" s="4">
        <f>+E65-E72</f>
        <v>1056000</v>
      </c>
      <c r="I73" s="43" t="s">
        <v>99</v>
      </c>
      <c r="J73" s="43"/>
      <c r="L73" s="4">
        <f>+L65-L72</f>
        <v>1948000</v>
      </c>
    </row>
    <row r="74" spans="2:13">
      <c r="B74" s="4" t="s">
        <v>96</v>
      </c>
      <c r="E74" s="4">
        <f>+D54*H53+D55</f>
        <v>704000</v>
      </c>
      <c r="H74" s="4" t="s">
        <v>101</v>
      </c>
      <c r="L74" s="51">
        <f>+H53*D54</f>
        <v>200000</v>
      </c>
    </row>
    <row r="75" spans="2:13" ht="16.8" thickBot="1">
      <c r="C75" s="4" t="s">
        <v>97</v>
      </c>
      <c r="E75" s="41">
        <f>+E73-E74</f>
        <v>352000</v>
      </c>
      <c r="F75" s="4" t="s">
        <v>183</v>
      </c>
      <c r="I75" s="43" t="s">
        <v>102</v>
      </c>
      <c r="J75" s="43"/>
      <c r="L75" s="4">
        <f>+L73-L74</f>
        <v>1748000</v>
      </c>
    </row>
    <row r="76" spans="2:13" ht="16.8" thickTop="1">
      <c r="H76" s="4" t="s">
        <v>103</v>
      </c>
    </row>
    <row r="77" spans="2:13">
      <c r="I77" s="4" t="s">
        <v>104</v>
      </c>
      <c r="K77" s="4">
        <f>+D52</f>
        <v>956000</v>
      </c>
    </row>
    <row r="78" spans="2:13">
      <c r="I78" s="4" t="s">
        <v>105</v>
      </c>
      <c r="K78" s="51">
        <f>+D55</f>
        <v>504000</v>
      </c>
      <c r="L78" s="51">
        <f>+SUM(K77:K78)</f>
        <v>1460000</v>
      </c>
    </row>
    <row r="79" spans="2:13">
      <c r="H79" s="4" t="s">
        <v>106</v>
      </c>
      <c r="L79" s="28">
        <f>+L75-L78</f>
        <v>288000</v>
      </c>
      <c r="M79" s="4" t="s">
        <v>184</v>
      </c>
    </row>
    <row r="80" spans="2:13">
      <c r="I80" s="52" t="s">
        <v>107</v>
      </c>
      <c r="J80" s="52"/>
    </row>
    <row r="81" spans="8:13">
      <c r="I81" s="4" t="s">
        <v>109</v>
      </c>
      <c r="K81" s="4">
        <f>+L60</f>
        <v>320000</v>
      </c>
    </row>
    <row r="82" spans="8:13">
      <c r="I82" s="4" t="s">
        <v>110</v>
      </c>
      <c r="K82" s="51">
        <f>+L49</f>
        <v>48000</v>
      </c>
      <c r="L82" s="4">
        <f>+SUM(K81:K82)</f>
        <v>368000</v>
      </c>
    </row>
    <row r="83" spans="8:13">
      <c r="I83" s="52" t="s">
        <v>108</v>
      </c>
      <c r="J83" s="52"/>
    </row>
    <row r="84" spans="8:13">
      <c r="I84" s="4" t="s">
        <v>111</v>
      </c>
      <c r="K84" s="4">
        <f>+K55</f>
        <v>160000</v>
      </c>
    </row>
    <row r="85" spans="8:13">
      <c r="I85" s="4" t="s">
        <v>112</v>
      </c>
      <c r="K85" s="51">
        <f>+K44</f>
        <v>144000</v>
      </c>
      <c r="L85" s="51">
        <f>+SUM(K84:K85)</f>
        <v>304000</v>
      </c>
    </row>
    <row r="86" spans="8:13" ht="16.8" thickBot="1">
      <c r="H86" s="4" t="s">
        <v>113</v>
      </c>
      <c r="L86" s="41">
        <f>+L79+L82-L85</f>
        <v>352000</v>
      </c>
      <c r="M86" s="4" t="s">
        <v>185</v>
      </c>
    </row>
    <row r="87" spans="8:13" ht="16.8" thickTop="1"/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4"/>
  <sheetViews>
    <sheetView zoomScale="85" zoomScaleNormal="85" workbookViewId="0">
      <selection activeCell="D21" sqref="D21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295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 t="s">
        <v>343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344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 t="s">
        <v>296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 t="s">
        <v>297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83" t="s">
        <v>298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0" spans="1:17" s="29" customFormat="1">
      <c r="A10" s="29" t="s">
        <v>285</v>
      </c>
      <c r="G10" s="4" t="s">
        <v>280</v>
      </c>
      <c r="H10" s="4"/>
      <c r="I10" s="4"/>
      <c r="J10" s="4"/>
      <c r="K10" s="4"/>
      <c r="L10" s="4" t="s">
        <v>284</v>
      </c>
      <c r="M10" s="4"/>
      <c r="N10" s="4"/>
      <c r="O10" s="4"/>
    </row>
    <row r="11" spans="1:17" s="29" customFormat="1">
      <c r="A11" s="29" t="s">
        <v>286</v>
      </c>
      <c r="B11" s="29">
        <v>1000</v>
      </c>
      <c r="C11" s="29" t="s">
        <v>290</v>
      </c>
      <c r="G11" s="26" t="s">
        <v>165</v>
      </c>
      <c r="H11" s="24" t="s">
        <v>166</v>
      </c>
      <c r="I11" s="4"/>
      <c r="J11" s="4"/>
      <c r="K11" s="4"/>
      <c r="L11" s="26" t="s">
        <v>180</v>
      </c>
      <c r="M11" s="24" t="s">
        <v>181</v>
      </c>
      <c r="N11" s="4"/>
      <c r="O11" s="4"/>
    </row>
    <row r="12" spans="1:17" s="29" customFormat="1">
      <c r="A12" s="29" t="s">
        <v>287</v>
      </c>
      <c r="B12" s="29">
        <v>120</v>
      </c>
      <c r="C12" s="29" t="s">
        <v>290</v>
      </c>
      <c r="E12" s="81" t="s">
        <v>277</v>
      </c>
      <c r="F12" s="29">
        <v>90000</v>
      </c>
      <c r="G12" s="54">
        <v>400</v>
      </c>
      <c r="H12" s="53">
        <f>+G12+G17-H17</f>
        <v>4000</v>
      </c>
      <c r="I12" s="4">
        <f>+F12+F17-I17</f>
        <v>720000</v>
      </c>
      <c r="J12" s="4"/>
      <c r="K12" s="4"/>
      <c r="L12" s="54">
        <v>600</v>
      </c>
      <c r="M12" s="53">
        <v>3600</v>
      </c>
      <c r="N12" s="4"/>
      <c r="O12" s="4"/>
    </row>
    <row r="13" spans="1:17" s="29" customFormat="1">
      <c r="A13" s="29" t="s">
        <v>288</v>
      </c>
      <c r="B13" s="29">
        <v>184200</v>
      </c>
      <c r="C13" s="29" t="s">
        <v>291</v>
      </c>
      <c r="E13" s="81" t="s">
        <v>278</v>
      </c>
      <c r="F13" s="29">
        <v>38000</v>
      </c>
      <c r="G13" s="54">
        <f>+G12*0.5</f>
        <v>200</v>
      </c>
      <c r="H13" s="53"/>
      <c r="I13" s="4">
        <f t="shared" ref="I13:I14" si="0">+F13+F18-I18</f>
        <v>380000</v>
      </c>
      <c r="J13" s="58" t="s">
        <v>282</v>
      </c>
      <c r="K13" s="4">
        <f>340500-K14</f>
        <v>237000</v>
      </c>
      <c r="L13" s="54"/>
      <c r="M13" s="53"/>
      <c r="N13" s="4">
        <f>+K13+K18-N18</f>
        <v>1062000</v>
      </c>
      <c r="O13" s="4"/>
    </row>
    <row r="14" spans="1:17" s="29" customFormat="1">
      <c r="A14" s="29" t="s">
        <v>289</v>
      </c>
      <c r="B14" s="29">
        <v>275000</v>
      </c>
      <c r="C14" s="29" t="s">
        <v>291</v>
      </c>
      <c r="E14" s="81" t="s">
        <v>279</v>
      </c>
      <c r="F14" s="29">
        <v>22000</v>
      </c>
      <c r="G14" s="25"/>
      <c r="H14" s="53"/>
      <c r="I14" s="4">
        <f t="shared" si="0"/>
        <v>630000</v>
      </c>
      <c r="J14" s="58" t="s">
        <v>283</v>
      </c>
      <c r="K14" s="4">
        <v>103500</v>
      </c>
      <c r="L14" s="25"/>
      <c r="M14" s="53"/>
      <c r="N14" s="4">
        <f>+K14+K19-N19</f>
        <v>576000</v>
      </c>
      <c r="O14" s="4"/>
    </row>
    <row r="15" spans="1:17" s="29" customFormat="1">
      <c r="G15" s="24"/>
      <c r="H15" s="22"/>
      <c r="I15" s="4"/>
      <c r="J15" s="4"/>
      <c r="K15" s="4"/>
      <c r="L15" s="24"/>
      <c r="M15" s="22"/>
      <c r="N15" s="4"/>
      <c r="O15" s="4"/>
    </row>
    <row r="16" spans="1:17" s="29" customFormat="1">
      <c r="G16" s="53" t="s">
        <v>171</v>
      </c>
      <c r="H16" s="24" t="s">
        <v>170</v>
      </c>
      <c r="I16" s="4"/>
      <c r="J16" s="4"/>
      <c r="K16" s="4"/>
      <c r="L16" s="53" t="s">
        <v>281</v>
      </c>
      <c r="M16" s="24" t="s">
        <v>182</v>
      </c>
      <c r="N16" s="4"/>
      <c r="O16" s="4"/>
    </row>
    <row r="17" spans="2:15" s="29" customFormat="1">
      <c r="E17" s="81" t="s">
        <v>277</v>
      </c>
      <c r="F17" s="29">
        <v>770000</v>
      </c>
      <c r="G17" s="53">
        <v>4400</v>
      </c>
      <c r="H17" s="53">
        <v>800</v>
      </c>
      <c r="I17" s="4">
        <f>+F17*H17/G17</f>
        <v>140000</v>
      </c>
      <c r="J17" s="4"/>
      <c r="K17" s="4"/>
      <c r="L17" s="53">
        <f>+H12</f>
        <v>4000</v>
      </c>
      <c r="M17" s="53">
        <f>+L12+L17-M12</f>
        <v>1000</v>
      </c>
      <c r="N17" s="4"/>
      <c r="O17" s="4"/>
    </row>
    <row r="18" spans="2:15" s="29" customFormat="1">
      <c r="E18" s="81" t="s">
        <v>278</v>
      </c>
      <c r="F18" s="29">
        <v>370800</v>
      </c>
      <c r="G18" s="53">
        <f>+H12+H18-G13</f>
        <v>4120</v>
      </c>
      <c r="H18" s="53">
        <f>+H17*0.4</f>
        <v>320</v>
      </c>
      <c r="I18" s="4">
        <f>+F18*H18/G18</f>
        <v>28800</v>
      </c>
      <c r="J18" s="58" t="s">
        <v>282</v>
      </c>
      <c r="K18" s="4">
        <f>+SUM(I12:I13)</f>
        <v>1100000</v>
      </c>
      <c r="L18" s="53"/>
      <c r="M18" s="53"/>
      <c r="N18" s="4">
        <f>+K18*M17/L17</f>
        <v>275000</v>
      </c>
      <c r="O18" s="4"/>
    </row>
    <row r="19" spans="2:15" s="29" customFormat="1">
      <c r="E19" s="81" t="s">
        <v>279</v>
      </c>
      <c r="F19" s="29">
        <v>659200</v>
      </c>
      <c r="G19" s="23"/>
      <c r="H19" s="23"/>
      <c r="I19" s="4">
        <f>+F19*H18/G18</f>
        <v>51200</v>
      </c>
      <c r="J19" s="58" t="s">
        <v>283</v>
      </c>
      <c r="K19" s="4">
        <f>+I14</f>
        <v>630000</v>
      </c>
      <c r="L19" s="23"/>
      <c r="M19" s="23"/>
      <c r="N19" s="4">
        <f>+K19*M17/L17</f>
        <v>157500</v>
      </c>
      <c r="O19" s="4"/>
    </row>
    <row r="20" spans="2:15" s="29" customFormat="1"/>
    <row r="21" spans="2:15" s="29" customFormat="1"/>
    <row r="22" spans="2:15">
      <c r="B22" s="4" t="s">
        <v>292</v>
      </c>
      <c r="H22" s="4" t="s">
        <v>293</v>
      </c>
    </row>
    <row r="23" spans="2:15">
      <c r="B23" s="4" t="s">
        <v>87</v>
      </c>
      <c r="E23" s="4">
        <f>+B11*M12</f>
        <v>3600000</v>
      </c>
      <c r="H23" s="4" t="s">
        <v>87</v>
      </c>
      <c r="K23" s="4">
        <f>+E23</f>
        <v>3600000</v>
      </c>
    </row>
    <row r="24" spans="2:15">
      <c r="B24" s="4" t="s">
        <v>88</v>
      </c>
      <c r="H24" s="4" t="s">
        <v>122</v>
      </c>
    </row>
    <row r="25" spans="2:15">
      <c r="C25" s="4" t="s">
        <v>89</v>
      </c>
      <c r="D25" s="4">
        <f>+SUM(K13:K14)</f>
        <v>340500</v>
      </c>
      <c r="I25" s="4" t="s">
        <v>89</v>
      </c>
      <c r="J25" s="4">
        <f>+K13</f>
        <v>237000</v>
      </c>
    </row>
    <row r="26" spans="2:15">
      <c r="C26" s="4" t="s">
        <v>90</v>
      </c>
      <c r="D26" s="51">
        <f>+SUM(K18:K19)</f>
        <v>1730000</v>
      </c>
      <c r="I26" s="4" t="s">
        <v>90</v>
      </c>
      <c r="J26" s="51">
        <f>+K18</f>
        <v>1100000</v>
      </c>
    </row>
    <row r="27" spans="2:15">
      <c r="C27" s="4" t="s">
        <v>91</v>
      </c>
      <c r="D27" s="4">
        <f>+D25+D26</f>
        <v>2070500</v>
      </c>
      <c r="I27" s="4" t="s">
        <v>91</v>
      </c>
      <c r="J27" s="4">
        <f>+J25+J26</f>
        <v>1337000</v>
      </c>
    </row>
    <row r="28" spans="2:15">
      <c r="C28" s="4" t="s">
        <v>92</v>
      </c>
      <c r="D28" s="51">
        <f>+SUM(N18:N19)</f>
        <v>432500</v>
      </c>
      <c r="E28" s="51">
        <f>+D27-D28</f>
        <v>1638000</v>
      </c>
      <c r="I28" s="4" t="s">
        <v>92</v>
      </c>
      <c r="J28" s="51">
        <f>+N18</f>
        <v>275000</v>
      </c>
      <c r="K28" s="51">
        <f>+J27-J28</f>
        <v>1062000</v>
      </c>
    </row>
    <row r="29" spans="2:15">
      <c r="C29" s="4" t="s">
        <v>119</v>
      </c>
      <c r="E29" s="4">
        <f>+E23-E28</f>
        <v>1962000</v>
      </c>
      <c r="I29" s="4" t="s">
        <v>99</v>
      </c>
      <c r="K29" s="4">
        <f>+K23-K28</f>
        <v>2538000</v>
      </c>
    </row>
    <row r="30" spans="2:15">
      <c r="B30" s="4" t="s">
        <v>96</v>
      </c>
      <c r="E30" s="4">
        <f>+B12*M12+SUM(B13:B14)</f>
        <v>891200</v>
      </c>
      <c r="H30" s="4" t="s">
        <v>101</v>
      </c>
      <c r="K30" s="51">
        <f>+M12*B12</f>
        <v>432000</v>
      </c>
    </row>
    <row r="31" spans="2:15" ht="16.8" thickBot="1">
      <c r="C31" s="4" t="s">
        <v>120</v>
      </c>
      <c r="E31" s="82">
        <f>+E29-E30</f>
        <v>1070800</v>
      </c>
      <c r="F31" s="4" t="s">
        <v>355</v>
      </c>
      <c r="I31" s="4" t="s">
        <v>273</v>
      </c>
      <c r="K31" s="4">
        <f>+K29-K30</f>
        <v>2106000</v>
      </c>
    </row>
    <row r="32" spans="2:15" ht="16.8" thickTop="1">
      <c r="H32" s="4" t="s">
        <v>103</v>
      </c>
    </row>
    <row r="33" spans="1:17">
      <c r="I33" s="4" t="s">
        <v>274</v>
      </c>
      <c r="J33" s="4">
        <f>+F19</f>
        <v>659200</v>
      </c>
    </row>
    <row r="34" spans="1:17">
      <c r="I34" s="4" t="s">
        <v>275</v>
      </c>
      <c r="J34" s="4">
        <f>+B13</f>
        <v>184200</v>
      </c>
    </row>
    <row r="35" spans="1:17">
      <c r="I35" s="4" t="s">
        <v>276</v>
      </c>
      <c r="J35" s="51">
        <f>+B14</f>
        <v>275000</v>
      </c>
      <c r="K35" s="51">
        <f>+SUM(J33:J35)</f>
        <v>1118400</v>
      </c>
    </row>
    <row r="36" spans="1:17" ht="16.8" thickBot="1">
      <c r="I36" s="4" t="s">
        <v>120</v>
      </c>
      <c r="K36" s="41">
        <f>+K31-K35</f>
        <v>987600</v>
      </c>
      <c r="L36" s="4" t="s">
        <v>356</v>
      </c>
    </row>
    <row r="37" spans="1:17" ht="16.8" thickTop="1"/>
    <row r="38" spans="1:17" ht="18" customHeight="1">
      <c r="A38" s="104" t="s">
        <v>345</v>
      </c>
      <c r="B38" s="105"/>
      <c r="C38" s="10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</row>
    <row r="39" spans="1:17" ht="18" customHeight="1">
      <c r="A39" s="106" t="s">
        <v>359</v>
      </c>
      <c r="B39" s="107"/>
      <c r="C39" s="10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</row>
    <row r="40" spans="1:17">
      <c r="A40" s="108" t="s">
        <v>360</v>
      </c>
      <c r="B40" s="109"/>
      <c r="C40" s="10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"/>
    </row>
    <row r="42" spans="1:17">
      <c r="H42" s="4" t="s">
        <v>346</v>
      </c>
      <c r="K42" s="28">
        <f>+K36</f>
        <v>987600</v>
      </c>
      <c r="L42" s="4" t="s">
        <v>358</v>
      </c>
    </row>
    <row r="43" spans="1:17">
      <c r="H43" s="4" t="s">
        <v>347</v>
      </c>
    </row>
    <row r="44" spans="1:17">
      <c r="H44" s="52" t="s">
        <v>348</v>
      </c>
    </row>
    <row r="45" spans="1:17">
      <c r="H45" s="4" t="s">
        <v>351</v>
      </c>
      <c r="J45" s="4">
        <f>+N19</f>
        <v>157500</v>
      </c>
    </row>
    <row r="46" spans="1:17">
      <c r="H46" s="4" t="s">
        <v>350</v>
      </c>
      <c r="J46" s="51">
        <f>+I19</f>
        <v>51200</v>
      </c>
      <c r="K46" s="4">
        <f>+SUM(J45:J46)</f>
        <v>208700</v>
      </c>
    </row>
    <row r="47" spans="1:17">
      <c r="H47" s="52" t="s">
        <v>349</v>
      </c>
    </row>
    <row r="48" spans="1:17">
      <c r="H48" s="4" t="s">
        <v>352</v>
      </c>
      <c r="J48" s="4">
        <f>+K14</f>
        <v>103500</v>
      </c>
    </row>
    <row r="49" spans="1:19">
      <c r="H49" s="4" t="s">
        <v>353</v>
      </c>
      <c r="J49" s="51">
        <f>+F14</f>
        <v>22000</v>
      </c>
      <c r="K49" s="51">
        <f>+SUM(J48:J49)</f>
        <v>125500</v>
      </c>
    </row>
    <row r="50" spans="1:19">
      <c r="H50" s="4" t="s">
        <v>354</v>
      </c>
      <c r="K50" s="28">
        <f>+K42+K46-K49</f>
        <v>1070800</v>
      </c>
      <c r="L50" s="4" t="s">
        <v>357</v>
      </c>
    </row>
    <row r="52" spans="1:19" ht="18" customHeight="1">
      <c r="A52" s="13" t="s">
        <v>299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</row>
    <row r="53" spans="1:19">
      <c r="A53" s="16" t="s">
        <v>270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/>
    </row>
    <row r="54" spans="1:19">
      <c r="A54" s="16" t="s">
        <v>271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/>
    </row>
    <row r="55" spans="1:19">
      <c r="A55" s="19" t="s">
        <v>272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7" spans="1:19">
      <c r="A57" s="63"/>
      <c r="B57" s="63"/>
      <c r="C57" s="63"/>
      <c r="D57" s="63"/>
      <c r="E57" s="63"/>
      <c r="F57" s="63"/>
      <c r="G57" s="63"/>
      <c r="H57" s="63" t="s">
        <v>260</v>
      </c>
      <c r="I57" s="63"/>
      <c r="J57" s="63"/>
      <c r="K57" s="63"/>
      <c r="L57" s="63" t="s">
        <v>229</v>
      </c>
      <c r="M57" s="63"/>
      <c r="N57" s="63"/>
      <c r="O57" s="63"/>
      <c r="P57" s="63"/>
      <c r="Q57" s="63"/>
      <c r="R57" s="63"/>
      <c r="S57" s="63"/>
    </row>
    <row r="58" spans="1:19">
      <c r="A58" s="63" t="s">
        <v>238</v>
      </c>
      <c r="B58" s="63"/>
      <c r="C58" s="63"/>
      <c r="D58" s="63"/>
      <c r="E58" s="63"/>
      <c r="F58" s="63"/>
      <c r="G58" s="63"/>
      <c r="H58" s="63" t="s">
        <v>259</v>
      </c>
      <c r="I58" s="63"/>
      <c r="J58" s="63"/>
      <c r="K58" s="63"/>
      <c r="L58" s="63" t="s">
        <v>230</v>
      </c>
      <c r="M58" s="63"/>
      <c r="N58" s="63"/>
      <c r="O58" s="63"/>
      <c r="P58" s="63"/>
      <c r="Q58" s="63" t="s">
        <v>237</v>
      </c>
      <c r="R58" s="63"/>
      <c r="S58" s="63"/>
    </row>
    <row r="59" spans="1:19">
      <c r="A59" s="63" t="s">
        <v>179</v>
      </c>
      <c r="B59" s="63">
        <v>8000</v>
      </c>
      <c r="C59" s="63" t="s">
        <v>163</v>
      </c>
      <c r="D59" s="63"/>
      <c r="E59" s="63"/>
      <c r="F59" s="63"/>
      <c r="G59" s="64">
        <v>920</v>
      </c>
      <c r="H59" s="65">
        <v>1200</v>
      </c>
      <c r="I59" s="65">
        <v>5400</v>
      </c>
      <c r="J59" s="63"/>
      <c r="K59" s="63"/>
      <c r="L59" s="66"/>
      <c r="M59" s="65"/>
      <c r="N59" s="63"/>
      <c r="O59" s="63"/>
      <c r="P59" s="63"/>
      <c r="Q59" s="66"/>
      <c r="R59" s="65"/>
      <c r="S59" s="63"/>
    </row>
    <row r="60" spans="1:19">
      <c r="A60" s="63" t="s">
        <v>241</v>
      </c>
      <c r="B60" s="63"/>
      <c r="C60" s="63"/>
      <c r="D60" s="67" t="s">
        <v>235</v>
      </c>
      <c r="E60" s="67"/>
      <c r="F60" s="67"/>
      <c r="G60" s="63"/>
      <c r="H60" s="68">
        <f>+H59*G59</f>
        <v>1104000</v>
      </c>
      <c r="I60" s="69">
        <f>+SUM(H60,H63)*I59/SUM(I59,I62)</f>
        <v>5400000</v>
      </c>
      <c r="J60" s="62" t="s">
        <v>233</v>
      </c>
      <c r="K60" s="63">
        <v>619200</v>
      </c>
      <c r="L60" s="70">
        <v>900</v>
      </c>
      <c r="M60" s="71">
        <f>+L60+L67-M67</f>
        <v>6000</v>
      </c>
      <c r="N60" s="72">
        <f>+K60+K66-N66</f>
        <v>4291200</v>
      </c>
      <c r="O60" s="62" t="s">
        <v>239</v>
      </c>
      <c r="P60" s="63">
        <f>+$Q$60*B61</f>
        <v>4170000</v>
      </c>
      <c r="Q60" s="70">
        <v>1500</v>
      </c>
      <c r="R60" s="71">
        <v>5400</v>
      </c>
      <c r="S60" s="63">
        <f>+P60+P67-S67</f>
        <v>15107160</v>
      </c>
    </row>
    <row r="61" spans="1:19">
      <c r="A61" s="63" t="s">
        <v>242</v>
      </c>
      <c r="B61" s="63">
        <v>2780</v>
      </c>
      <c r="C61" s="63"/>
      <c r="D61" s="67" t="s">
        <v>236</v>
      </c>
      <c r="E61" s="67"/>
      <c r="F61" s="67"/>
      <c r="G61" s="64"/>
      <c r="H61" s="70"/>
      <c r="I61" s="71"/>
      <c r="J61" s="62" t="s">
        <v>234</v>
      </c>
      <c r="K61" s="63">
        <v>628800</v>
      </c>
      <c r="L61" s="70">
        <f>+L60*0.666666666666667</f>
        <v>600.00000000000023</v>
      </c>
      <c r="M61" s="71"/>
      <c r="N61" s="72">
        <f t="shared" ref="N61:N63" si="1">+K61+K67-N67</f>
        <v>6460800</v>
      </c>
      <c r="O61" s="62" t="s">
        <v>240</v>
      </c>
      <c r="P61" s="79">
        <f>+$Q$60*B62</f>
        <v>2520000</v>
      </c>
      <c r="Q61" s="70"/>
      <c r="R61" s="71"/>
      <c r="S61" s="63">
        <f>+P61+P68-S68</f>
        <v>9399600</v>
      </c>
    </row>
    <row r="62" spans="1:19">
      <c r="A62" s="63" t="s">
        <v>243</v>
      </c>
      <c r="B62" s="63">
        <v>1680</v>
      </c>
      <c r="C62" s="63"/>
      <c r="D62" s="63"/>
      <c r="E62" s="63"/>
      <c r="F62" s="63"/>
      <c r="G62" s="64">
        <v>1020</v>
      </c>
      <c r="H62" s="70">
        <v>4800</v>
      </c>
      <c r="I62" s="65">
        <f>+H62+H59-I59</f>
        <v>600</v>
      </c>
      <c r="J62" s="62" t="s">
        <v>244</v>
      </c>
      <c r="K62" s="63">
        <v>288000</v>
      </c>
      <c r="L62" s="70"/>
      <c r="M62" s="71"/>
      <c r="N62" s="72">
        <f t="shared" si="1"/>
        <v>2880000</v>
      </c>
      <c r="O62" s="63"/>
      <c r="P62" s="63"/>
      <c r="Q62" s="70"/>
      <c r="R62" s="71"/>
      <c r="S62" s="63"/>
    </row>
    <row r="63" spans="1:19">
      <c r="A63" s="63"/>
      <c r="B63" s="63"/>
      <c r="C63" s="63"/>
      <c r="D63" s="63"/>
      <c r="E63" s="63"/>
      <c r="F63" s="63"/>
      <c r="G63" s="63"/>
      <c r="H63" s="73">
        <f>+H62*G62</f>
        <v>4896000</v>
      </c>
      <c r="I63" s="68" t="s">
        <v>261</v>
      </c>
      <c r="J63" s="62" t="s">
        <v>245</v>
      </c>
      <c r="K63" s="79">
        <v>576000</v>
      </c>
      <c r="L63" s="70"/>
      <c r="M63" s="71"/>
      <c r="N63" s="72">
        <f t="shared" si="1"/>
        <v>5760000</v>
      </c>
      <c r="O63" s="63"/>
      <c r="P63" s="63"/>
      <c r="Q63" s="70"/>
      <c r="R63" s="71"/>
      <c r="S63" s="63"/>
    </row>
    <row r="64" spans="1:19">
      <c r="A64" s="63"/>
      <c r="B64" s="63"/>
      <c r="C64" s="63"/>
      <c r="D64" s="63"/>
      <c r="E64" s="63"/>
      <c r="F64" s="63"/>
      <c r="G64" s="63"/>
      <c r="H64" s="63"/>
      <c r="I64" s="63"/>
      <c r="J64" s="67"/>
      <c r="K64" s="63"/>
      <c r="L64" s="73"/>
      <c r="M64" s="71"/>
      <c r="N64" s="63"/>
      <c r="O64" s="63"/>
      <c r="P64" s="63"/>
      <c r="Q64" s="73"/>
      <c r="R64" s="71"/>
      <c r="S64" s="63"/>
    </row>
    <row r="65" spans="1:19">
      <c r="A65" s="63" t="s">
        <v>249</v>
      </c>
      <c r="B65" s="63"/>
      <c r="C65" s="63"/>
      <c r="D65" s="63" t="s">
        <v>253</v>
      </c>
      <c r="E65" s="78"/>
      <c r="F65" s="78" t="s">
        <v>254</v>
      </c>
      <c r="G65" s="63"/>
      <c r="H65" s="63" t="s">
        <v>260</v>
      </c>
      <c r="I65" s="63"/>
      <c r="J65" s="67"/>
      <c r="K65" s="63"/>
      <c r="L65" s="65"/>
      <c r="M65" s="74"/>
      <c r="N65" s="63"/>
      <c r="O65" s="63"/>
      <c r="P65" s="63"/>
      <c r="Q65" s="65"/>
      <c r="R65" s="74"/>
      <c r="S65" s="63"/>
    </row>
    <row r="66" spans="1:19">
      <c r="A66" s="63" t="s">
        <v>230</v>
      </c>
      <c r="B66" s="63"/>
      <c r="C66" s="63" t="s">
        <v>176</v>
      </c>
      <c r="D66" s="63"/>
      <c r="E66" s="78"/>
      <c r="F66" s="78"/>
      <c r="G66" s="63"/>
      <c r="H66" s="63" t="s">
        <v>262</v>
      </c>
      <c r="I66" s="63"/>
      <c r="J66" s="67" t="s">
        <v>233</v>
      </c>
      <c r="K66" s="63">
        <f>+I60</f>
        <v>5400000</v>
      </c>
      <c r="L66" s="71"/>
      <c r="M66" s="65"/>
      <c r="N66" s="63">
        <f>+K66*M67/L67</f>
        <v>1728000</v>
      </c>
      <c r="O66" s="63"/>
      <c r="P66" s="63"/>
      <c r="Q66" s="71"/>
      <c r="R66" s="65"/>
      <c r="S66" s="63"/>
    </row>
    <row r="67" spans="1:19">
      <c r="A67" s="63" t="s">
        <v>250</v>
      </c>
      <c r="B67" s="63">
        <v>75600</v>
      </c>
      <c r="C67" s="63"/>
      <c r="D67" s="63"/>
      <c r="E67" s="78"/>
      <c r="F67" s="78"/>
      <c r="G67" s="64">
        <v>2744</v>
      </c>
      <c r="H67" s="65">
        <v>750</v>
      </c>
      <c r="I67" s="65">
        <v>2700</v>
      </c>
      <c r="J67" s="67" t="s">
        <v>234</v>
      </c>
      <c r="K67" s="63">
        <f>+I68</f>
        <v>7128000</v>
      </c>
      <c r="L67" s="71">
        <v>7500</v>
      </c>
      <c r="M67" s="71">
        <v>2400</v>
      </c>
      <c r="N67" s="63">
        <f>+K67*M68/L68</f>
        <v>1296000</v>
      </c>
      <c r="O67" s="67" t="s">
        <v>239</v>
      </c>
      <c r="P67" s="63">
        <f>+N74+N76+I76</f>
        <v>16826400</v>
      </c>
      <c r="Q67" s="71">
        <f>+M74</f>
        <v>6000</v>
      </c>
      <c r="R67" s="71">
        <v>2100</v>
      </c>
      <c r="S67" s="63">
        <f>+P67*R67/Q67</f>
        <v>5889240</v>
      </c>
    </row>
    <row r="68" spans="1:19">
      <c r="A68" s="63" t="s">
        <v>251</v>
      </c>
      <c r="B68" s="63">
        <v>36288000</v>
      </c>
      <c r="C68" s="63">
        <f>+B68/B67</f>
        <v>480</v>
      </c>
      <c r="D68" s="63">
        <v>3240000</v>
      </c>
      <c r="E68" s="78" t="s">
        <v>265</v>
      </c>
      <c r="F68" s="78">
        <f>+K68-D68</f>
        <v>-72000</v>
      </c>
      <c r="G68" s="63"/>
      <c r="H68" s="68">
        <f>+H67*G67</f>
        <v>2058000</v>
      </c>
      <c r="I68" s="69">
        <f>+H68+H71-I71</f>
        <v>7128000</v>
      </c>
      <c r="J68" s="67" t="s">
        <v>244</v>
      </c>
      <c r="K68" s="63">
        <f>+$L$68*C68</f>
        <v>3168000</v>
      </c>
      <c r="L68" s="71">
        <f>+M60+M68-L61</f>
        <v>6600</v>
      </c>
      <c r="M68" s="71">
        <f>+M67/2</f>
        <v>1200</v>
      </c>
      <c r="N68" s="63">
        <f>+K68*M68/L68</f>
        <v>576000</v>
      </c>
      <c r="O68" s="67" t="s">
        <v>240</v>
      </c>
      <c r="P68" s="63">
        <f>+N75+N77</f>
        <v>10584000</v>
      </c>
      <c r="Q68" s="69"/>
      <c r="R68" s="71"/>
      <c r="S68" s="79">
        <f>+P68*R67/Q67</f>
        <v>3704400</v>
      </c>
    </row>
    <row r="69" spans="1:19">
      <c r="A69" s="63" t="s">
        <v>252</v>
      </c>
      <c r="B69" s="63">
        <v>72576000</v>
      </c>
      <c r="C69" s="63">
        <f>+B69/B67</f>
        <v>960</v>
      </c>
      <c r="D69" s="63">
        <v>6408000</v>
      </c>
      <c r="E69" s="78" t="s">
        <v>266</v>
      </c>
      <c r="F69" s="78">
        <f>+K69-D69-F70</f>
        <v>-360000</v>
      </c>
      <c r="G69" s="64"/>
      <c r="H69" s="70"/>
      <c r="I69" s="71"/>
      <c r="J69" s="67" t="s">
        <v>245</v>
      </c>
      <c r="K69" s="63">
        <f>+$L$68*C69</f>
        <v>6336000</v>
      </c>
      <c r="L69" s="68"/>
      <c r="M69" s="68"/>
      <c r="N69" s="79">
        <f>+K69*M68/L68</f>
        <v>1152000</v>
      </c>
      <c r="O69" s="63"/>
      <c r="P69" s="63"/>
      <c r="Q69" s="68"/>
      <c r="R69" s="68"/>
      <c r="S69" s="63"/>
    </row>
    <row r="70" spans="1:19">
      <c r="A70" s="63"/>
      <c r="B70" s="63"/>
      <c r="C70" s="63"/>
      <c r="D70" s="63"/>
      <c r="E70" s="78" t="s">
        <v>264</v>
      </c>
      <c r="F70" s="78">
        <v>288000</v>
      </c>
      <c r="G70" s="64">
        <v>2600</v>
      </c>
      <c r="H70" s="70">
        <v>2850</v>
      </c>
      <c r="I70" s="65">
        <f>+H70+H67-I67</f>
        <v>900</v>
      </c>
      <c r="J70" s="67"/>
      <c r="K70" s="63"/>
      <c r="L70" s="63"/>
      <c r="M70" s="63"/>
      <c r="N70" s="63"/>
      <c r="O70" s="63"/>
      <c r="P70" s="63"/>
      <c r="Q70" s="63"/>
      <c r="R70" s="63"/>
      <c r="S70" s="63"/>
    </row>
    <row r="71" spans="1:19">
      <c r="A71" s="63" t="s">
        <v>231</v>
      </c>
      <c r="B71" s="63"/>
      <c r="C71" s="63"/>
      <c r="D71" s="63"/>
      <c r="E71" s="78"/>
      <c r="F71" s="78"/>
      <c r="G71" s="63"/>
      <c r="H71" s="73">
        <f>+H70*G70</f>
        <v>7410000</v>
      </c>
      <c r="I71" s="68">
        <f>+I70*G70</f>
        <v>2340000</v>
      </c>
      <c r="J71" s="67"/>
      <c r="K71" s="63"/>
      <c r="L71" s="63"/>
      <c r="M71" s="63"/>
      <c r="N71" s="63"/>
      <c r="O71" s="63"/>
      <c r="P71" s="63"/>
      <c r="Q71" s="63"/>
      <c r="R71" s="63"/>
      <c r="S71" s="63"/>
    </row>
    <row r="72" spans="1:19">
      <c r="A72" s="63" t="s">
        <v>250</v>
      </c>
      <c r="B72" s="63">
        <v>75600</v>
      </c>
      <c r="C72" s="63"/>
      <c r="D72" s="63"/>
      <c r="E72" s="78"/>
      <c r="F72" s="78"/>
      <c r="G72" s="63"/>
      <c r="H72" s="63"/>
      <c r="I72" s="63"/>
      <c r="J72" s="67"/>
      <c r="K72" s="63"/>
      <c r="L72" s="63" t="s">
        <v>231</v>
      </c>
      <c r="M72" s="63"/>
      <c r="N72" s="63"/>
      <c r="O72" s="63"/>
      <c r="P72" s="63"/>
      <c r="Q72" s="63"/>
      <c r="R72" s="63"/>
      <c r="S72" s="63"/>
    </row>
    <row r="73" spans="1:19">
      <c r="A73" s="63" t="s">
        <v>251</v>
      </c>
      <c r="B73" s="63">
        <v>27216000</v>
      </c>
      <c r="C73" s="63">
        <f>+B73/B72</f>
        <v>360</v>
      </c>
      <c r="D73" s="63">
        <v>2280000</v>
      </c>
      <c r="E73" s="78" t="s">
        <v>265</v>
      </c>
      <c r="F73" s="78">
        <f>+K83-D73</f>
        <v>-120000</v>
      </c>
      <c r="G73" s="63"/>
      <c r="H73" s="63" t="s">
        <v>260</v>
      </c>
      <c r="I73" s="63"/>
      <c r="J73" s="67"/>
      <c r="K73" s="63"/>
      <c r="L73" s="66"/>
      <c r="M73" s="65"/>
      <c r="N73" s="63"/>
      <c r="O73" s="63"/>
      <c r="P73" s="63"/>
      <c r="Q73" s="63"/>
      <c r="R73" s="63"/>
      <c r="S73" s="63"/>
    </row>
    <row r="74" spans="1:19">
      <c r="A74" s="63" t="s">
        <v>252</v>
      </c>
      <c r="B74" s="63">
        <v>54432000</v>
      </c>
      <c r="C74" s="63">
        <f>+B74/B72</f>
        <v>720</v>
      </c>
      <c r="D74" s="63">
        <v>4608000</v>
      </c>
      <c r="E74" s="78" t="s">
        <v>266</v>
      </c>
      <c r="F74" s="78">
        <f>+K84-D74-F75</f>
        <v>-72000</v>
      </c>
      <c r="G74" s="63"/>
      <c r="H74" s="63" t="s">
        <v>263</v>
      </c>
      <c r="I74" s="63"/>
      <c r="J74" s="62" t="s">
        <v>246</v>
      </c>
      <c r="K74" s="63">
        <v>2659200</v>
      </c>
      <c r="L74" s="70">
        <v>1200</v>
      </c>
      <c r="M74" s="71">
        <f>+L74+L82-M82-M78</f>
        <v>6000</v>
      </c>
      <c r="N74" s="72">
        <f>+K74+K81-N81</f>
        <v>14246400</v>
      </c>
      <c r="O74" s="63"/>
      <c r="P74" s="63"/>
      <c r="Q74" s="63"/>
      <c r="R74" s="63"/>
      <c r="S74" s="63"/>
    </row>
    <row r="75" spans="1:19">
      <c r="A75" s="63"/>
      <c r="B75" s="63"/>
      <c r="C75" s="63"/>
      <c r="D75" s="63"/>
      <c r="E75" s="78" t="s">
        <v>264</v>
      </c>
      <c r="F75" s="78">
        <v>-216000</v>
      </c>
      <c r="G75" s="64">
        <v>496</v>
      </c>
      <c r="H75" s="65">
        <v>150</v>
      </c>
      <c r="I75" s="65">
        <v>600</v>
      </c>
      <c r="J75" s="62" t="s">
        <v>247</v>
      </c>
      <c r="K75" s="79">
        <v>1152000</v>
      </c>
      <c r="L75" s="70">
        <f>+L74/2</f>
        <v>600</v>
      </c>
      <c r="M75" s="71"/>
      <c r="N75" s="72">
        <f t="shared" ref="N75:N77" si="2">+K75+K82-N82</f>
        <v>6048000</v>
      </c>
      <c r="O75" s="63"/>
      <c r="P75" s="63"/>
      <c r="Q75" s="63"/>
      <c r="R75" s="63"/>
      <c r="S75" s="63"/>
    </row>
    <row r="76" spans="1:19">
      <c r="A76" s="63"/>
      <c r="B76" s="63"/>
      <c r="C76" s="63"/>
      <c r="D76" s="63" t="s">
        <v>255</v>
      </c>
      <c r="E76" s="63"/>
      <c r="F76" s="63"/>
      <c r="G76" s="63"/>
      <c r="H76" s="68">
        <f>+H75*G75</f>
        <v>74400</v>
      </c>
      <c r="I76" s="69">
        <f>+H76+H79-I79</f>
        <v>312000</v>
      </c>
      <c r="J76" s="62" t="s">
        <v>244</v>
      </c>
      <c r="K76" s="63">
        <v>216000</v>
      </c>
      <c r="L76" s="70"/>
      <c r="M76" s="68"/>
      <c r="N76" s="72">
        <f t="shared" si="2"/>
        <v>2268000</v>
      </c>
      <c r="O76" s="63"/>
      <c r="P76" s="63"/>
      <c r="Q76" s="63"/>
      <c r="R76" s="63"/>
      <c r="S76" s="63"/>
    </row>
    <row r="77" spans="1:19">
      <c r="A77" s="63" t="s">
        <v>256</v>
      </c>
      <c r="B77" s="63"/>
      <c r="C77" s="63"/>
      <c r="D77" s="63">
        <v>2592000</v>
      </c>
      <c r="E77" s="63"/>
      <c r="F77" s="63"/>
      <c r="G77" s="64"/>
      <c r="H77" s="70"/>
      <c r="I77" s="71"/>
      <c r="J77" s="62" t="s">
        <v>248</v>
      </c>
      <c r="K77" s="79">
        <v>432000</v>
      </c>
      <c r="L77" s="70"/>
      <c r="M77" s="65" t="s">
        <v>232</v>
      </c>
      <c r="N77" s="72">
        <f t="shared" si="2"/>
        <v>4536000</v>
      </c>
      <c r="O77" s="63"/>
      <c r="P77" s="63"/>
      <c r="Q77" s="63"/>
      <c r="R77" s="63"/>
      <c r="S77" s="63"/>
    </row>
    <row r="78" spans="1:19">
      <c r="A78" s="63" t="s">
        <v>257</v>
      </c>
      <c r="B78" s="63"/>
      <c r="C78" s="63"/>
      <c r="D78" s="63">
        <v>3024000</v>
      </c>
      <c r="E78" s="63"/>
      <c r="F78" s="63"/>
      <c r="G78" s="64">
        <v>528</v>
      </c>
      <c r="H78" s="70">
        <v>750</v>
      </c>
      <c r="I78" s="65">
        <f>+H78+H75-I75</f>
        <v>300</v>
      </c>
      <c r="J78" s="67"/>
      <c r="K78" s="63"/>
      <c r="L78" s="73"/>
      <c r="M78" s="71">
        <v>300</v>
      </c>
      <c r="N78" s="63"/>
      <c r="O78" s="63"/>
      <c r="P78" s="63"/>
      <c r="Q78" s="63"/>
      <c r="R78" s="63"/>
      <c r="S78" s="63"/>
    </row>
    <row r="79" spans="1:19">
      <c r="A79" s="63" t="s">
        <v>258</v>
      </c>
      <c r="B79" s="63"/>
      <c r="C79" s="63"/>
      <c r="D79" s="63">
        <v>5575200</v>
      </c>
      <c r="E79" s="63"/>
      <c r="F79" s="63"/>
      <c r="G79" s="63"/>
      <c r="H79" s="73">
        <f>+H78*G78</f>
        <v>396000</v>
      </c>
      <c r="I79" s="68">
        <f>+I78*G78</f>
        <v>158400</v>
      </c>
      <c r="J79" s="67"/>
      <c r="K79" s="63"/>
      <c r="L79" s="65"/>
      <c r="M79" s="71">
        <v>300</v>
      </c>
      <c r="N79" s="63"/>
      <c r="O79" s="63"/>
      <c r="P79" s="63"/>
      <c r="Q79" s="63"/>
      <c r="R79" s="63"/>
      <c r="S79" s="63"/>
    </row>
    <row r="80" spans="1:19">
      <c r="A80" s="63"/>
      <c r="B80" s="63"/>
      <c r="C80" s="63"/>
      <c r="D80" s="63"/>
      <c r="E80" s="63"/>
      <c r="F80" s="63"/>
      <c r="G80" s="63"/>
      <c r="H80" s="75"/>
      <c r="I80" s="75"/>
      <c r="J80" s="67"/>
      <c r="K80" s="63"/>
      <c r="L80" s="71"/>
      <c r="M80" s="68"/>
      <c r="N80" s="63"/>
      <c r="O80" s="63"/>
      <c r="P80" s="63"/>
      <c r="Q80" s="63"/>
      <c r="R80" s="63"/>
      <c r="S80" s="63"/>
    </row>
    <row r="81" spans="1:19">
      <c r="A81" s="63"/>
      <c r="B81" s="63"/>
      <c r="C81" s="63"/>
      <c r="D81" s="63"/>
      <c r="E81" s="63"/>
      <c r="F81" s="63"/>
      <c r="G81" s="63"/>
      <c r="H81" s="75"/>
      <c r="I81" s="75"/>
      <c r="J81" s="67" t="s">
        <v>246</v>
      </c>
      <c r="K81" s="63">
        <f>+SUM(N60:N62)</f>
        <v>13632000</v>
      </c>
      <c r="L81" s="71"/>
      <c r="M81" s="65"/>
      <c r="N81" s="63">
        <f>+K81*M82/L82</f>
        <v>2044800</v>
      </c>
      <c r="O81" s="63"/>
      <c r="P81" s="63"/>
      <c r="Q81" s="63"/>
      <c r="R81" s="63"/>
      <c r="S81" s="63"/>
    </row>
    <row r="82" spans="1:19">
      <c r="A82" s="63"/>
      <c r="B82" s="63"/>
      <c r="C82" s="63"/>
      <c r="D82" s="63"/>
      <c r="E82" s="63"/>
      <c r="F82" s="63"/>
      <c r="G82" s="63"/>
      <c r="H82" s="75"/>
      <c r="I82" s="75"/>
      <c r="J82" s="67" t="s">
        <v>247</v>
      </c>
      <c r="K82" s="63">
        <f>+N63</f>
        <v>5760000</v>
      </c>
      <c r="L82" s="71">
        <f>+M60</f>
        <v>6000</v>
      </c>
      <c r="M82" s="71">
        <v>900</v>
      </c>
      <c r="N82" s="79">
        <f>+K82*M82/L82</f>
        <v>864000</v>
      </c>
      <c r="O82" s="63"/>
      <c r="P82" s="63"/>
      <c r="Q82" s="63"/>
      <c r="R82" s="63"/>
      <c r="S82" s="63"/>
    </row>
    <row r="83" spans="1:19">
      <c r="A83" s="63"/>
      <c r="B83" s="63"/>
      <c r="C83" s="63"/>
      <c r="D83" s="63"/>
      <c r="E83" s="63"/>
      <c r="F83" s="63"/>
      <c r="G83" s="63"/>
      <c r="H83" s="75"/>
      <c r="I83" s="75"/>
      <c r="J83" s="67" t="s">
        <v>244</v>
      </c>
      <c r="K83" s="63">
        <f>+L83*C73</f>
        <v>2160000</v>
      </c>
      <c r="L83" s="69">
        <f>+M83+M79+M74-L75</f>
        <v>6000</v>
      </c>
      <c r="M83" s="71">
        <f>+M82/3</f>
        <v>300</v>
      </c>
      <c r="N83" s="63">
        <f>+K83*M83/L83</f>
        <v>108000</v>
      </c>
      <c r="O83" s="63"/>
      <c r="P83" s="63"/>
      <c r="Q83" s="63"/>
      <c r="R83" s="63"/>
      <c r="S83" s="63"/>
    </row>
    <row r="84" spans="1:19">
      <c r="A84" s="63"/>
      <c r="B84" s="63"/>
      <c r="C84" s="63"/>
      <c r="D84" s="63"/>
      <c r="E84" s="63"/>
      <c r="F84" s="63"/>
      <c r="G84" s="63"/>
      <c r="H84" s="75"/>
      <c r="I84" s="75"/>
      <c r="J84" s="67" t="s">
        <v>248</v>
      </c>
      <c r="K84" s="63">
        <f>+L83*C74</f>
        <v>4320000</v>
      </c>
      <c r="L84" s="68"/>
      <c r="M84" s="68"/>
      <c r="N84" s="79">
        <f>+K84*M83/L83</f>
        <v>216000</v>
      </c>
      <c r="O84" s="63"/>
      <c r="P84" s="63"/>
      <c r="Q84" s="63"/>
      <c r="R84" s="63"/>
      <c r="S84" s="63"/>
    </row>
    <row r="85" spans="1:19">
      <c r="A85" s="63"/>
      <c r="B85" s="63"/>
      <c r="C85" s="63"/>
      <c r="D85" s="63"/>
      <c r="E85" s="63"/>
      <c r="F85" s="63"/>
      <c r="G85" s="63"/>
      <c r="H85" s="75"/>
      <c r="I85" s="75"/>
      <c r="J85" s="67"/>
      <c r="K85" s="63"/>
      <c r="L85" s="63"/>
      <c r="M85" s="63"/>
      <c r="N85" s="63"/>
      <c r="O85" s="63"/>
      <c r="P85" s="63"/>
      <c r="Q85" s="63"/>
      <c r="R85" s="63"/>
      <c r="S85" s="63"/>
    </row>
    <row r="86" spans="1:19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ht="16.8" thickBot="1">
      <c r="A87" s="76" t="s">
        <v>186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63"/>
      <c r="O87" s="63"/>
      <c r="P87" s="63"/>
      <c r="Q87" s="63"/>
      <c r="R87" s="63"/>
      <c r="S87" s="63"/>
    </row>
    <row r="88" spans="1:19">
      <c r="A88" s="43" t="s">
        <v>187</v>
      </c>
      <c r="G88" s="27"/>
      <c r="H88" s="27"/>
      <c r="K88" s="27"/>
      <c r="L88" s="27"/>
    </row>
    <row r="89" spans="1:19">
      <c r="B89" s="4" t="s">
        <v>86</v>
      </c>
      <c r="H89" s="4" t="s">
        <v>267</v>
      </c>
    </row>
    <row r="91" spans="1:19">
      <c r="B91" s="4" t="s">
        <v>87</v>
      </c>
      <c r="E91" s="4">
        <f>+R60*B59</f>
        <v>43200000</v>
      </c>
      <c r="H91" s="4" t="s">
        <v>87</v>
      </c>
      <c r="K91" s="4">
        <f>+R60*B59</f>
        <v>43200000</v>
      </c>
    </row>
    <row r="92" spans="1:19">
      <c r="B92" s="4" t="s">
        <v>88</v>
      </c>
      <c r="H92" s="4" t="s">
        <v>122</v>
      </c>
    </row>
    <row r="93" spans="1:19">
      <c r="C93" s="4" t="s">
        <v>89</v>
      </c>
      <c r="D93" s="4">
        <f>+SUM(P60:P61)</f>
        <v>6690000</v>
      </c>
      <c r="I93" s="4" t="s">
        <v>89</v>
      </c>
      <c r="J93" s="4">
        <f>+P60</f>
        <v>4170000</v>
      </c>
    </row>
    <row r="94" spans="1:19">
      <c r="C94" s="4" t="s">
        <v>90</v>
      </c>
      <c r="D94" s="51">
        <f>+SUM(P67:P68)</f>
        <v>27410400</v>
      </c>
      <c r="I94" s="4" t="s">
        <v>90</v>
      </c>
      <c r="J94" s="51">
        <f>+P67</f>
        <v>16826400</v>
      </c>
    </row>
    <row r="95" spans="1:19">
      <c r="C95" s="4" t="s">
        <v>91</v>
      </c>
      <c r="D95" s="4">
        <f>+D93+D94</f>
        <v>34100400</v>
      </c>
      <c r="I95" s="4" t="s">
        <v>91</v>
      </c>
      <c r="J95" s="4">
        <f>+SUM(J93:J94)</f>
        <v>20996400</v>
      </c>
    </row>
    <row r="96" spans="1:19">
      <c r="C96" s="4" t="s">
        <v>92</v>
      </c>
      <c r="D96" s="51">
        <f>+SUM(S67:S68)</f>
        <v>9593640</v>
      </c>
      <c r="I96" s="4" t="s">
        <v>92</v>
      </c>
      <c r="J96" s="51">
        <f>+S67</f>
        <v>5889240</v>
      </c>
    </row>
    <row r="97" spans="2:11">
      <c r="C97" s="4" t="s">
        <v>93</v>
      </c>
      <c r="D97" s="4">
        <f>+D95-D96</f>
        <v>24506760</v>
      </c>
      <c r="I97" s="4" t="s">
        <v>93</v>
      </c>
      <c r="J97" s="4">
        <f>+J95-J96</f>
        <v>15107160</v>
      </c>
    </row>
    <row r="98" spans="2:11">
      <c r="C98" s="4" t="s">
        <v>94</v>
      </c>
      <c r="D98" s="27"/>
      <c r="E98" s="27"/>
      <c r="I98" s="4" t="s">
        <v>123</v>
      </c>
      <c r="J98" s="27"/>
      <c r="K98" s="27"/>
    </row>
    <row r="99" spans="2:11">
      <c r="C99" s="4" t="s">
        <v>114</v>
      </c>
      <c r="D99" s="27"/>
      <c r="E99" s="27"/>
      <c r="I99" s="4" t="s">
        <v>114</v>
      </c>
      <c r="J99" s="27">
        <f>-F68</f>
        <v>72000</v>
      </c>
      <c r="K99" s="27"/>
    </row>
    <row r="100" spans="2:11">
      <c r="C100" s="4" t="s">
        <v>115</v>
      </c>
      <c r="D100" s="27">
        <f>-SUM(F68:F69)</f>
        <v>432000</v>
      </c>
      <c r="E100" s="27"/>
      <c r="I100" s="4" t="s">
        <v>117</v>
      </c>
      <c r="J100" s="27">
        <f>-F73</f>
        <v>120000</v>
      </c>
      <c r="K100" s="27"/>
    </row>
    <row r="101" spans="2:11">
      <c r="C101" s="4" t="s">
        <v>116</v>
      </c>
      <c r="D101" s="51">
        <f>-F70</f>
        <v>-288000</v>
      </c>
      <c r="E101" s="27"/>
      <c r="I101" s="4" t="s">
        <v>118</v>
      </c>
      <c r="J101" s="51">
        <f>+SUM(J99:J100)</f>
        <v>192000</v>
      </c>
      <c r="K101" s="51">
        <f>+J97+J101</f>
        <v>15299160</v>
      </c>
    </row>
    <row r="102" spans="2:11">
      <c r="C102" s="4" t="s">
        <v>121</v>
      </c>
      <c r="D102" s="27">
        <f>SUM(D100:D101)</f>
        <v>144000</v>
      </c>
      <c r="E102" s="27"/>
      <c r="I102" s="4" t="s">
        <v>99</v>
      </c>
      <c r="J102" s="27"/>
      <c r="K102" s="27">
        <f>+K91-K101</f>
        <v>27900840</v>
      </c>
    </row>
    <row r="103" spans="2:11">
      <c r="C103" s="4" t="s">
        <v>117</v>
      </c>
      <c r="D103" s="27"/>
      <c r="E103" s="27"/>
      <c r="H103" s="4" t="s">
        <v>101</v>
      </c>
      <c r="J103" s="27"/>
      <c r="K103" s="51">
        <f>+D77</f>
        <v>2592000</v>
      </c>
    </row>
    <row r="104" spans="2:11">
      <c r="C104" s="4" t="s">
        <v>115</v>
      </c>
      <c r="D104" s="27">
        <f>-SUM(F73:F74)</f>
        <v>192000</v>
      </c>
      <c r="E104" s="27"/>
      <c r="I104" s="4" t="s">
        <v>102</v>
      </c>
      <c r="J104" s="27"/>
      <c r="K104" s="27">
        <f>+K102-K103</f>
        <v>25308840</v>
      </c>
    </row>
    <row r="105" spans="2:11">
      <c r="C105" s="4" t="s">
        <v>116</v>
      </c>
      <c r="D105" s="51">
        <f>-F75</f>
        <v>216000</v>
      </c>
      <c r="E105" s="27"/>
      <c r="H105" s="4" t="s">
        <v>103</v>
      </c>
    </row>
    <row r="106" spans="2:11">
      <c r="C106" s="4" t="s">
        <v>121</v>
      </c>
      <c r="D106" s="42">
        <f>SUM(D104:D105)</f>
        <v>408000</v>
      </c>
      <c r="E106" s="27"/>
      <c r="I106" s="4" t="s">
        <v>124</v>
      </c>
      <c r="J106" s="4">
        <f>+D69</f>
        <v>6408000</v>
      </c>
    </row>
    <row r="107" spans="2:11">
      <c r="C107" s="4" t="s">
        <v>118</v>
      </c>
      <c r="D107" s="51">
        <f>+D102+D106</f>
        <v>552000</v>
      </c>
      <c r="E107" s="51">
        <f>+D97+D107</f>
        <v>25058760</v>
      </c>
      <c r="I107" s="4" t="s">
        <v>125</v>
      </c>
      <c r="J107" s="4">
        <f>+D74</f>
        <v>4608000</v>
      </c>
    </row>
    <row r="108" spans="2:11">
      <c r="C108" s="4" t="s">
        <v>119</v>
      </c>
      <c r="D108" s="27"/>
      <c r="E108" s="27">
        <f>+E91-E107</f>
        <v>18141240</v>
      </c>
      <c r="I108" s="4" t="s">
        <v>126</v>
      </c>
      <c r="J108" s="4">
        <f>+D78</f>
        <v>3024000</v>
      </c>
    </row>
    <row r="109" spans="2:11">
      <c r="B109" s="4" t="s">
        <v>96</v>
      </c>
      <c r="E109" s="4">
        <f>+SUM(D77:D79)</f>
        <v>11191200</v>
      </c>
      <c r="I109" s="4" t="s">
        <v>127</v>
      </c>
      <c r="J109" s="51">
        <f>+D79</f>
        <v>5575200</v>
      </c>
      <c r="K109" s="51">
        <f>+SUM(J106:J109)</f>
        <v>19615200</v>
      </c>
    </row>
    <row r="110" spans="2:11" ht="16.8" thickBot="1">
      <c r="C110" s="4" t="s">
        <v>120</v>
      </c>
      <c r="E110" s="41">
        <f>+E108-E109</f>
        <v>6950040</v>
      </c>
      <c r="I110" s="4" t="s">
        <v>128</v>
      </c>
      <c r="K110" s="41">
        <f>+K104-K109</f>
        <v>5693640</v>
      </c>
    </row>
    <row r="111" spans="2:11" ht="16.8" thickTop="1"/>
    <row r="112" spans="2:11">
      <c r="H112" s="4" t="s">
        <v>106</v>
      </c>
      <c r="K112" s="12">
        <f>+K110</f>
        <v>5693640</v>
      </c>
    </row>
    <row r="113" spans="8:11">
      <c r="I113" s="52" t="s">
        <v>107</v>
      </c>
    </row>
    <row r="114" spans="8:11">
      <c r="I114" s="4" t="s">
        <v>129</v>
      </c>
    </row>
    <row r="115" spans="8:11">
      <c r="I115" s="4" t="s">
        <v>130</v>
      </c>
      <c r="J115" s="79">
        <f>+N69</f>
        <v>1152000</v>
      </c>
    </row>
    <row r="116" spans="8:11">
      <c r="I116" s="4" t="s">
        <v>131</v>
      </c>
      <c r="J116" s="79">
        <f>+N82+N84</f>
        <v>1080000</v>
      </c>
    </row>
    <row r="117" spans="8:11">
      <c r="I117" s="4" t="s">
        <v>268</v>
      </c>
      <c r="J117" s="80">
        <f>+S68</f>
        <v>3704400</v>
      </c>
      <c r="K117" s="4">
        <f>+SUM(J115:J117)</f>
        <v>5936400</v>
      </c>
    </row>
    <row r="118" spans="8:11">
      <c r="I118" s="52" t="s">
        <v>132</v>
      </c>
    </row>
    <row r="119" spans="8:11">
      <c r="I119" s="4" t="s">
        <v>133</v>
      </c>
    </row>
    <row r="120" spans="8:11">
      <c r="I120" s="4" t="s">
        <v>130</v>
      </c>
      <c r="J120" s="79">
        <f>+K63</f>
        <v>576000</v>
      </c>
    </row>
    <row r="121" spans="8:11">
      <c r="I121" s="4" t="s">
        <v>131</v>
      </c>
      <c r="J121" s="79">
        <f>+K75+K77</f>
        <v>1584000</v>
      </c>
    </row>
    <row r="122" spans="8:11">
      <c r="I122" s="4" t="s">
        <v>269</v>
      </c>
      <c r="J122" s="80">
        <f>+P61</f>
        <v>2520000</v>
      </c>
      <c r="K122" s="4">
        <f>+SUM(J120:J122)</f>
        <v>4680000</v>
      </c>
    </row>
    <row r="123" spans="8:11" ht="16.8" thickBot="1">
      <c r="H123" s="4" t="s">
        <v>113</v>
      </c>
      <c r="K123" s="41">
        <f>+K112+K117-K122</f>
        <v>6950040</v>
      </c>
    </row>
    <row r="124" spans="8:11" ht="16.8" thickTop="1"/>
  </sheetData>
  <phoneticPr fontId="3"/>
  <pageMargins left="0.23622047244094491" right="0.23622047244094491" top="0.74803149606299213" bottom="0.74803149606299213" header="0.31496062992125984" footer="0.31496062992125984"/>
  <pageSetup paperSize="9" scale="61" fitToHeight="0" orientation="landscape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18"/>
  <sheetViews>
    <sheetView topLeftCell="A28" zoomScale="85" zoomScaleNormal="85" workbookViewId="0">
      <selection activeCell="A50" sqref="A50:F62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362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 t="s">
        <v>294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11" customFormat="1" ht="18" customHeight="1">
      <c r="A5" s="104" t="s">
        <v>390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10"/>
    </row>
    <row r="6" spans="1:17" s="111" customFormat="1">
      <c r="A6" s="106" t="s">
        <v>391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12"/>
    </row>
    <row r="7" spans="1:17" s="111" customFormat="1">
      <c r="A7" s="106" t="s">
        <v>392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12"/>
    </row>
    <row r="8" spans="1:17" s="111" customFormat="1">
      <c r="A8" s="108" t="s">
        <v>393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3"/>
    </row>
    <row r="9" spans="1:17" s="29" customFormat="1"/>
    <row r="10" spans="1:17">
      <c r="A10" s="4" t="s">
        <v>206</v>
      </c>
    </row>
    <row r="11" spans="1:17">
      <c r="B11" s="26" t="s">
        <v>11</v>
      </c>
      <c r="C11" s="88"/>
      <c r="D11" s="88"/>
      <c r="E11" s="88"/>
      <c r="F11" s="89"/>
      <c r="H11" s="29"/>
      <c r="I11" s="29"/>
      <c r="J11" s="4" t="s">
        <v>280</v>
      </c>
      <c r="O11" s="4" t="s">
        <v>284</v>
      </c>
    </row>
    <row r="12" spans="1:17">
      <c r="B12" s="54" t="s">
        <v>167</v>
      </c>
      <c r="C12" s="90">
        <v>80</v>
      </c>
      <c r="D12" s="91">
        <v>2</v>
      </c>
      <c r="E12" s="92">
        <f>+C12*D12</f>
        <v>160</v>
      </c>
      <c r="F12" s="93"/>
      <c r="H12" s="29"/>
      <c r="I12" s="29"/>
      <c r="J12" s="26" t="s">
        <v>165</v>
      </c>
      <c r="K12" s="24" t="s">
        <v>166</v>
      </c>
      <c r="O12" s="26" t="s">
        <v>180</v>
      </c>
      <c r="P12" s="24" t="s">
        <v>181</v>
      </c>
    </row>
    <row r="13" spans="1:17">
      <c r="B13" s="54" t="s">
        <v>302</v>
      </c>
      <c r="C13" s="94">
        <v>120</v>
      </c>
      <c r="D13" s="95">
        <v>2</v>
      </c>
      <c r="E13" s="92">
        <f>+C13*D13</f>
        <v>240</v>
      </c>
      <c r="F13" s="93"/>
      <c r="H13" s="81" t="str">
        <f>+B12</f>
        <v>直接材料費</v>
      </c>
      <c r="I13" s="29" t="s">
        <v>322</v>
      </c>
      <c r="J13" s="54">
        <v>700</v>
      </c>
      <c r="K13" s="53">
        <f>+J13+J19-K19</f>
        <v>2760</v>
      </c>
      <c r="L13" s="4">
        <f>+$K$13*E12</f>
        <v>441600</v>
      </c>
      <c r="M13" s="81"/>
      <c r="O13" s="54">
        <v>540</v>
      </c>
      <c r="P13" s="53">
        <f>+O13+O19-P19</f>
        <v>2400</v>
      </c>
    </row>
    <row r="14" spans="1:17">
      <c r="B14" s="54" t="s">
        <v>303</v>
      </c>
      <c r="C14" s="94"/>
      <c r="D14" s="95"/>
      <c r="E14" s="92"/>
      <c r="F14" s="93"/>
      <c r="H14" s="81" t="str">
        <f>+B13</f>
        <v>直接労務費</v>
      </c>
      <c r="I14" s="29" t="s">
        <v>261</v>
      </c>
      <c r="J14" s="54">
        <f>+J13*0.4</f>
        <v>280</v>
      </c>
      <c r="K14" s="53"/>
      <c r="L14" s="4">
        <f>+$K$13*E13</f>
        <v>662400</v>
      </c>
      <c r="M14" s="81" t="s">
        <v>242</v>
      </c>
      <c r="N14" s="4">
        <f>+O13*SUM(E12:E15)</f>
        <v>324000</v>
      </c>
      <c r="O14" s="54"/>
      <c r="P14" s="53"/>
      <c r="Q14" s="4">
        <f>+P13*SUM(E12:E15)</f>
        <v>1440000</v>
      </c>
    </row>
    <row r="15" spans="1:17">
      <c r="B15" s="54" t="s">
        <v>304</v>
      </c>
      <c r="C15" s="94">
        <v>100</v>
      </c>
      <c r="D15" s="95">
        <v>2</v>
      </c>
      <c r="E15" s="92">
        <f t="shared" ref="E15:E16" si="0">+C15*D15</f>
        <v>200</v>
      </c>
      <c r="F15" s="93"/>
      <c r="H15" s="81" t="s">
        <v>320</v>
      </c>
      <c r="I15" s="29" t="s">
        <v>261</v>
      </c>
      <c r="J15" s="54"/>
      <c r="K15" s="53"/>
      <c r="L15" s="4">
        <f>+$K$13*E15</f>
        <v>552000</v>
      </c>
      <c r="M15" s="81" t="s">
        <v>243</v>
      </c>
      <c r="N15" s="4">
        <f>+O13*E16</f>
        <v>162000</v>
      </c>
      <c r="O15" s="54"/>
      <c r="P15" s="53"/>
      <c r="Q15" s="4">
        <f>+P13*E16</f>
        <v>720000</v>
      </c>
    </row>
    <row r="16" spans="1:17">
      <c r="B16" s="54" t="s">
        <v>305</v>
      </c>
      <c r="C16" s="94">
        <v>150</v>
      </c>
      <c r="D16" s="95">
        <v>2</v>
      </c>
      <c r="E16" s="92">
        <f t="shared" si="0"/>
        <v>300</v>
      </c>
      <c r="F16" s="93"/>
      <c r="H16" s="81" t="s">
        <v>321</v>
      </c>
      <c r="I16" s="29">
        <f>+J14*E16</f>
        <v>84000</v>
      </c>
      <c r="J16" s="25"/>
      <c r="K16" s="53"/>
      <c r="L16" s="4">
        <f>+$K$13*E16</f>
        <v>828000</v>
      </c>
      <c r="O16" s="25"/>
      <c r="P16" s="53"/>
    </row>
    <row r="17" spans="2:17" ht="16.8" thickBot="1">
      <c r="B17" s="54"/>
      <c r="C17" s="27"/>
      <c r="D17" s="27"/>
      <c r="E17" s="57">
        <f>SUM(E12:E16)</f>
        <v>900</v>
      </c>
      <c r="F17" s="93" t="s">
        <v>161</v>
      </c>
      <c r="H17" s="29"/>
      <c r="I17" s="29"/>
      <c r="J17" s="24"/>
      <c r="K17" s="22"/>
      <c r="O17" s="24"/>
      <c r="P17" s="22"/>
    </row>
    <row r="18" spans="2:17" ht="16.8" thickTop="1">
      <c r="B18" s="54"/>
      <c r="C18" s="27"/>
      <c r="D18" s="27"/>
      <c r="E18" s="27"/>
      <c r="F18" s="93"/>
      <c r="H18" s="29"/>
      <c r="I18" s="29"/>
      <c r="J18" s="53" t="s">
        <v>171</v>
      </c>
      <c r="K18" s="24" t="s">
        <v>170</v>
      </c>
      <c r="O18" s="53" t="s">
        <v>281</v>
      </c>
      <c r="P18" s="24" t="s">
        <v>182</v>
      </c>
    </row>
    <row r="19" spans="2:17">
      <c r="B19" s="54" t="s">
        <v>325</v>
      </c>
      <c r="C19" s="27"/>
      <c r="D19" s="27"/>
      <c r="E19" s="27"/>
      <c r="F19" s="93" t="s">
        <v>335</v>
      </c>
      <c r="H19" s="81" t="s">
        <v>300</v>
      </c>
      <c r="I19" s="29">
        <f>+J19*E12</f>
        <v>400000</v>
      </c>
      <c r="J19" s="53">
        <v>2500</v>
      </c>
      <c r="K19" s="53">
        <v>440</v>
      </c>
      <c r="L19" s="4" t="s">
        <v>323</v>
      </c>
      <c r="O19" s="53">
        <f>+K13</f>
        <v>2760</v>
      </c>
      <c r="P19" s="53">
        <v>900</v>
      </c>
    </row>
    <row r="20" spans="2:17">
      <c r="B20" s="54" t="s">
        <v>167</v>
      </c>
      <c r="C20" s="90">
        <v>85</v>
      </c>
      <c r="D20" s="96">
        <v>5120</v>
      </c>
      <c r="E20" s="97">
        <f>+C20*D20</f>
        <v>435200</v>
      </c>
      <c r="F20" s="93"/>
      <c r="H20" s="81" t="s">
        <v>301</v>
      </c>
      <c r="I20" s="29">
        <f>+J20*E13</f>
        <v>648000</v>
      </c>
      <c r="J20" s="53">
        <f>+K13+K20-J14</f>
        <v>2700</v>
      </c>
      <c r="K20" s="53">
        <f>+K19*0.5</f>
        <v>220</v>
      </c>
      <c r="L20" s="4" t="s">
        <v>261</v>
      </c>
      <c r="M20" s="81" t="s">
        <v>242</v>
      </c>
      <c r="N20" s="4">
        <f>+SUM(L13:L15)</f>
        <v>1656000</v>
      </c>
      <c r="O20" s="53"/>
      <c r="P20" s="53"/>
      <c r="Q20" s="4">
        <f>+P19*SUM(E12:E15)</f>
        <v>540000</v>
      </c>
    </row>
    <row r="21" spans="2:17">
      <c r="B21" s="54" t="s">
        <v>302</v>
      </c>
      <c r="C21" s="94">
        <v>116</v>
      </c>
      <c r="D21" s="98">
        <v>5460</v>
      </c>
      <c r="E21" s="97">
        <f>+C21*D21</f>
        <v>633360</v>
      </c>
      <c r="F21" s="93"/>
      <c r="H21" s="81" t="s">
        <v>320</v>
      </c>
      <c r="I21" s="29">
        <f>+J20*E15</f>
        <v>540000</v>
      </c>
      <c r="J21" s="53"/>
      <c r="K21" s="53"/>
      <c r="L21" s="4" t="s">
        <v>261</v>
      </c>
      <c r="M21" s="81" t="s">
        <v>243</v>
      </c>
      <c r="N21" s="4">
        <f>+L16</f>
        <v>828000</v>
      </c>
      <c r="O21" s="53"/>
      <c r="P21" s="53"/>
      <c r="Q21" s="4">
        <f>+P19*E16</f>
        <v>270000</v>
      </c>
    </row>
    <row r="22" spans="2:17">
      <c r="B22" s="54" t="s">
        <v>320</v>
      </c>
      <c r="C22" s="94"/>
      <c r="D22" s="98"/>
      <c r="E22" s="99">
        <v>574000</v>
      </c>
      <c r="F22" s="93"/>
      <c r="H22" s="81" t="s">
        <v>321</v>
      </c>
      <c r="I22" s="29">
        <f>+J20*E16</f>
        <v>810000</v>
      </c>
      <c r="J22" s="23"/>
      <c r="K22" s="23"/>
      <c r="L22" s="4">
        <f>+K20*E16</f>
        <v>66000</v>
      </c>
      <c r="O22" s="23"/>
      <c r="P22" s="23"/>
    </row>
    <row r="23" spans="2:17">
      <c r="B23" s="54" t="s">
        <v>321</v>
      </c>
      <c r="C23" s="94"/>
      <c r="D23" s="98"/>
      <c r="E23" s="99">
        <v>888000</v>
      </c>
      <c r="F23" s="93"/>
    </row>
    <row r="24" spans="2:17">
      <c r="B24" s="54" t="s">
        <v>326</v>
      </c>
      <c r="C24" s="94"/>
      <c r="D24" s="98"/>
      <c r="E24" s="99">
        <v>122400</v>
      </c>
      <c r="F24" s="93">
        <f>+P13*C43-E24</f>
        <v>-2400</v>
      </c>
    </row>
    <row r="25" spans="2:17">
      <c r="B25" s="25" t="s">
        <v>327</v>
      </c>
      <c r="C25" s="100"/>
      <c r="D25" s="101"/>
      <c r="E25" s="102">
        <v>185040</v>
      </c>
      <c r="F25" s="22"/>
    </row>
    <row r="26" spans="2:17" ht="16.8" thickBot="1"/>
    <row r="27" spans="2:17" ht="16.8" thickTop="1">
      <c r="B27" s="153" t="s">
        <v>315</v>
      </c>
      <c r="C27" s="154"/>
      <c r="D27" s="154"/>
      <c r="E27" s="154"/>
      <c r="F27" s="155"/>
      <c r="H27" s="29" t="s">
        <v>374</v>
      </c>
      <c r="I27" s="29"/>
      <c r="J27" s="29"/>
      <c r="K27" s="29"/>
      <c r="L27" s="29"/>
      <c r="M27" s="29"/>
      <c r="N27" s="29" t="s">
        <v>375</v>
      </c>
      <c r="O27" s="29"/>
      <c r="P27" s="29"/>
      <c r="Q27" s="29"/>
    </row>
    <row r="28" spans="2:17">
      <c r="B28" s="114"/>
      <c r="C28" s="27" t="s">
        <v>176</v>
      </c>
      <c r="D28" s="115" t="s">
        <v>314</v>
      </c>
      <c r="E28" s="27">
        <f>+B29*E32</f>
        <v>435200</v>
      </c>
      <c r="F28" s="156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2:17">
      <c r="B29" s="114">
        <f>+C20</f>
        <v>85</v>
      </c>
      <c r="C29" s="84" t="s">
        <v>312</v>
      </c>
      <c r="D29" s="86">
        <f>+(B30-B29)*E32</f>
        <v>-25600</v>
      </c>
      <c r="E29" s="85"/>
      <c r="F29" s="156"/>
      <c r="H29" s="4" t="s">
        <v>87</v>
      </c>
      <c r="K29" s="4">
        <f>+P13*C42</f>
        <v>3600000</v>
      </c>
      <c r="L29" s="29"/>
      <c r="M29" s="29"/>
      <c r="N29" s="4" t="s">
        <v>87</v>
      </c>
      <c r="Q29" s="4">
        <f>+K29</f>
        <v>3600000</v>
      </c>
    </row>
    <row r="30" spans="2:17">
      <c r="B30" s="114">
        <f>+C12</f>
        <v>80</v>
      </c>
      <c r="C30" s="54" t="s">
        <v>313</v>
      </c>
      <c r="D30" s="27"/>
      <c r="E30" s="24" t="s">
        <v>311</v>
      </c>
      <c r="F30" s="156"/>
      <c r="H30" s="4" t="s">
        <v>368</v>
      </c>
      <c r="L30" s="29"/>
      <c r="M30" s="29"/>
      <c r="N30" s="4" t="s">
        <v>134</v>
      </c>
    </row>
    <row r="31" spans="2:17">
      <c r="B31" s="114"/>
      <c r="C31" s="25"/>
      <c r="D31" s="51">
        <f>+B30*D32</f>
        <v>400000</v>
      </c>
      <c r="E31" s="87">
        <f>+(D32-E32)*B30</f>
        <v>-9600</v>
      </c>
      <c r="F31" s="156"/>
      <c r="H31" s="4" t="s">
        <v>364</v>
      </c>
      <c r="J31" s="4">
        <f>+SUM(N14:N15)</f>
        <v>486000</v>
      </c>
      <c r="L31" s="29"/>
      <c r="M31" s="29"/>
      <c r="N31" s="4" t="s">
        <v>364</v>
      </c>
      <c r="P31" s="4">
        <f>+N14</f>
        <v>324000</v>
      </c>
    </row>
    <row r="32" spans="2:17">
      <c r="B32" s="114"/>
      <c r="C32" s="27"/>
      <c r="D32" s="27">
        <f>+J19*D12</f>
        <v>5000</v>
      </c>
      <c r="E32" s="27">
        <f>+D20</f>
        <v>5120</v>
      </c>
      <c r="F32" s="156" t="s">
        <v>308</v>
      </c>
      <c r="H32" s="4" t="s">
        <v>365</v>
      </c>
      <c r="J32" s="51">
        <f>+SUM(N20:N21)</f>
        <v>2484000</v>
      </c>
      <c r="L32" s="29"/>
      <c r="M32" s="29"/>
      <c r="N32" s="4" t="s">
        <v>365</v>
      </c>
      <c r="P32" s="51">
        <f>+N20</f>
        <v>1656000</v>
      </c>
    </row>
    <row r="33" spans="2:17">
      <c r="B33" s="114"/>
      <c r="C33" s="27"/>
      <c r="D33" s="115" t="s">
        <v>309</v>
      </c>
      <c r="E33" s="115" t="s">
        <v>310</v>
      </c>
      <c r="F33" s="156"/>
      <c r="I33" s="4" t="s">
        <v>363</v>
      </c>
      <c r="J33" s="4">
        <f>+J31+J32</f>
        <v>2970000</v>
      </c>
      <c r="L33" s="29"/>
      <c r="M33" s="29"/>
      <c r="O33" s="4" t="s">
        <v>363</v>
      </c>
      <c r="P33" s="4">
        <f>+SUM(P31:P32)</f>
        <v>1980000</v>
      </c>
    </row>
    <row r="34" spans="2:17">
      <c r="B34" s="114" t="s">
        <v>316</v>
      </c>
      <c r="C34" s="27"/>
      <c r="D34" s="27"/>
      <c r="E34" s="27"/>
      <c r="F34" s="156"/>
      <c r="H34" s="4" t="s">
        <v>366</v>
      </c>
      <c r="J34" s="51">
        <f>+SUM(Q20:Q21)</f>
        <v>810000</v>
      </c>
      <c r="K34" s="51">
        <f>+J33-J34</f>
        <v>2160000</v>
      </c>
      <c r="L34" s="29"/>
      <c r="M34" s="29"/>
      <c r="N34" s="4" t="s">
        <v>366</v>
      </c>
      <c r="P34" s="51">
        <f>+Q20</f>
        <v>540000</v>
      </c>
      <c r="Q34" s="51">
        <f>+P33-P34</f>
        <v>1440000</v>
      </c>
    </row>
    <row r="35" spans="2:17">
      <c r="B35" s="114"/>
      <c r="C35" s="27" t="s">
        <v>176</v>
      </c>
      <c r="D35" s="115" t="s">
        <v>314</v>
      </c>
      <c r="E35" s="27">
        <f>+B36*E39</f>
        <v>633360</v>
      </c>
      <c r="F35" s="156"/>
      <c r="I35" s="4" t="s">
        <v>369</v>
      </c>
      <c r="K35" s="27">
        <f>+K29-K34</f>
        <v>1440000</v>
      </c>
      <c r="L35" s="29"/>
      <c r="M35" s="29"/>
      <c r="O35" s="4" t="s">
        <v>135</v>
      </c>
      <c r="Q35" s="27">
        <f>+Q29-Q34</f>
        <v>2160000</v>
      </c>
    </row>
    <row r="36" spans="2:17">
      <c r="B36" s="114">
        <f>+C21</f>
        <v>116</v>
      </c>
      <c r="C36" s="84" t="s">
        <v>318</v>
      </c>
      <c r="D36" s="86">
        <f>+(B37-B36)*E39</f>
        <v>21840</v>
      </c>
      <c r="E36" s="85"/>
      <c r="F36" s="156"/>
      <c r="L36" s="29"/>
      <c r="M36" s="29"/>
      <c r="N36" s="4" t="s">
        <v>136</v>
      </c>
      <c r="Q36" s="51">
        <f>+P13*C43</f>
        <v>120000</v>
      </c>
    </row>
    <row r="37" spans="2:17">
      <c r="B37" s="114">
        <f>+C13</f>
        <v>120</v>
      </c>
      <c r="C37" s="54" t="s">
        <v>313</v>
      </c>
      <c r="D37" s="27"/>
      <c r="E37" s="24" t="s">
        <v>319</v>
      </c>
      <c r="F37" s="156"/>
      <c r="L37" s="29"/>
      <c r="M37" s="29"/>
      <c r="O37" s="4" t="s">
        <v>324</v>
      </c>
      <c r="Q37" s="4">
        <f>+Q35-Q36</f>
        <v>2040000</v>
      </c>
    </row>
    <row r="38" spans="2:17">
      <c r="B38" s="114"/>
      <c r="C38" s="25"/>
      <c r="D38" s="51">
        <f>+B37*D39</f>
        <v>648000</v>
      </c>
      <c r="E38" s="87">
        <f>+(D39-E39)*B37</f>
        <v>-7200</v>
      </c>
      <c r="F38" s="156"/>
      <c r="H38" s="4" t="s">
        <v>370</v>
      </c>
      <c r="L38" s="29"/>
      <c r="M38" s="29"/>
      <c r="N38" s="4" t="s">
        <v>137</v>
      </c>
    </row>
    <row r="39" spans="2:17">
      <c r="B39" s="114"/>
      <c r="C39" s="27"/>
      <c r="D39" s="27">
        <f>+D13*J20</f>
        <v>5400</v>
      </c>
      <c r="E39" s="27">
        <f>+D21</f>
        <v>5460</v>
      </c>
      <c r="F39" s="156" t="s">
        <v>317</v>
      </c>
      <c r="H39" s="4" t="s">
        <v>138</v>
      </c>
      <c r="J39" s="4">
        <f>+D29</f>
        <v>-25600</v>
      </c>
      <c r="L39" s="29"/>
      <c r="M39" s="29"/>
      <c r="N39" s="4" t="s">
        <v>138</v>
      </c>
      <c r="P39" s="4">
        <f>+D29</f>
        <v>-25600</v>
      </c>
    </row>
    <row r="40" spans="2:17" ht="16.8" thickBot="1">
      <c r="B40" s="157"/>
      <c r="C40" s="158"/>
      <c r="D40" s="159" t="s">
        <v>309</v>
      </c>
      <c r="E40" s="159" t="s">
        <v>310</v>
      </c>
      <c r="F40" s="160"/>
      <c r="H40" s="4" t="s">
        <v>139</v>
      </c>
      <c r="J40" s="4">
        <f>+E31</f>
        <v>-9600</v>
      </c>
      <c r="L40" s="29"/>
      <c r="M40" s="29"/>
      <c r="N40" s="4" t="s">
        <v>139</v>
      </c>
      <c r="P40" s="4">
        <f>+E31</f>
        <v>-9600</v>
      </c>
    </row>
    <row r="41" spans="2:17" ht="16.8" thickTop="1">
      <c r="H41" s="4" t="s">
        <v>140</v>
      </c>
      <c r="J41" s="4">
        <f>+D36</f>
        <v>21840</v>
      </c>
      <c r="L41" s="29"/>
      <c r="M41" s="29"/>
      <c r="N41" s="4" t="s">
        <v>140</v>
      </c>
      <c r="P41" s="4">
        <f>+D36</f>
        <v>21840</v>
      </c>
    </row>
    <row r="42" spans="2:17">
      <c r="B42" s="4" t="s">
        <v>306</v>
      </c>
      <c r="C42" s="4">
        <v>1500</v>
      </c>
      <c r="H42" s="4" t="s">
        <v>141</v>
      </c>
      <c r="I42" s="12"/>
      <c r="J42" s="4">
        <f>+E38</f>
        <v>-7200</v>
      </c>
      <c r="L42" s="29"/>
      <c r="M42" s="29"/>
      <c r="N42" s="4" t="s">
        <v>141</v>
      </c>
      <c r="P42" s="12">
        <f>+E38</f>
        <v>-7200</v>
      </c>
    </row>
    <row r="43" spans="2:17">
      <c r="B43" s="4" t="s">
        <v>307</v>
      </c>
      <c r="C43" s="4">
        <v>50</v>
      </c>
      <c r="H43" s="4" t="s">
        <v>142</v>
      </c>
      <c r="I43" s="12"/>
      <c r="J43" s="117">
        <f>+D53+D61</f>
        <v>-16000</v>
      </c>
      <c r="L43" s="29"/>
      <c r="M43" s="29"/>
      <c r="N43" s="4" t="s">
        <v>142</v>
      </c>
      <c r="P43" s="117">
        <f>+D53</f>
        <v>-28000</v>
      </c>
    </row>
    <row r="44" spans="2:17">
      <c r="H44" s="4" t="s">
        <v>143</v>
      </c>
      <c r="I44" s="12"/>
      <c r="J44" s="117">
        <f>+C54+C59</f>
        <v>-15000</v>
      </c>
      <c r="L44" s="29"/>
      <c r="M44" s="29"/>
      <c r="N44" s="4" t="s">
        <v>143</v>
      </c>
      <c r="P44" s="117">
        <f>+C54</f>
        <v>-6000</v>
      </c>
    </row>
    <row r="45" spans="2:17">
      <c r="B45" s="4" t="s">
        <v>329</v>
      </c>
      <c r="H45" s="4" t="s">
        <v>371</v>
      </c>
      <c r="I45" s="116"/>
      <c r="J45" s="148">
        <f>+D60</f>
        <v>-81000</v>
      </c>
      <c r="K45" s="51">
        <f>+SUM(J39:J45)</f>
        <v>-132560</v>
      </c>
      <c r="L45" s="29"/>
      <c r="M45" s="29"/>
      <c r="N45" s="4" t="s">
        <v>144</v>
      </c>
      <c r="P45" s="148">
        <f>+F24</f>
        <v>-2400</v>
      </c>
      <c r="Q45" s="51">
        <f>+SUM(P39:P45)</f>
        <v>-56960</v>
      </c>
    </row>
    <row r="46" spans="2:17">
      <c r="B46" s="4" t="s">
        <v>330</v>
      </c>
      <c r="D46" s="4">
        <v>6000</v>
      </c>
      <c r="E46" s="4" t="s">
        <v>333</v>
      </c>
      <c r="I46" s="4" t="s">
        <v>372</v>
      </c>
      <c r="K46" s="4">
        <f>+K35+K45</f>
        <v>1307440</v>
      </c>
      <c r="L46" s="29"/>
      <c r="M46" s="29"/>
      <c r="O46" s="4" t="s">
        <v>145</v>
      </c>
      <c r="Q46" s="4">
        <f>+Q37+Q45</f>
        <v>1983040</v>
      </c>
    </row>
    <row r="47" spans="2:17">
      <c r="B47" s="4" t="s">
        <v>331</v>
      </c>
      <c r="D47" s="4">
        <v>600000</v>
      </c>
      <c r="E47" s="4" t="s">
        <v>334</v>
      </c>
      <c r="H47" s="4" t="s">
        <v>373</v>
      </c>
      <c r="K47" s="4">
        <f>+SUM(E24:E25)</f>
        <v>307440</v>
      </c>
      <c r="L47" s="29"/>
      <c r="M47" s="29"/>
      <c r="N47" s="4" t="s">
        <v>146</v>
      </c>
    </row>
    <row r="48" spans="2:17" ht="16.8" thickBot="1">
      <c r="B48" s="4" t="s">
        <v>332</v>
      </c>
      <c r="D48" s="111">
        <v>900000</v>
      </c>
      <c r="E48" s="4" t="s">
        <v>334</v>
      </c>
      <c r="I48" s="4" t="s">
        <v>367</v>
      </c>
      <c r="K48" s="41">
        <f>+K46-K47</f>
        <v>1000000</v>
      </c>
      <c r="L48" s="29" t="s">
        <v>386</v>
      </c>
      <c r="M48" s="29"/>
      <c r="N48" s="4" t="s">
        <v>147</v>
      </c>
      <c r="P48" s="4">
        <f>+E23</f>
        <v>888000</v>
      </c>
    </row>
    <row r="49" spans="1:18" ht="16.8" thickTop="1">
      <c r="L49" s="29"/>
      <c r="M49" s="29"/>
      <c r="N49" s="4" t="s">
        <v>148</v>
      </c>
      <c r="P49" s="51">
        <f>+E25</f>
        <v>185040</v>
      </c>
      <c r="Q49" s="51">
        <f>+SUM(P48:P49)</f>
        <v>1073040</v>
      </c>
    </row>
    <row r="50" spans="1:18" ht="16.8" thickBot="1">
      <c r="A50" s="117"/>
      <c r="B50" s="117" t="s">
        <v>336</v>
      </c>
      <c r="C50" s="117"/>
      <c r="D50" s="117"/>
      <c r="E50" s="117"/>
      <c r="F50" s="117"/>
      <c r="L50" s="29"/>
      <c r="M50" s="29"/>
      <c r="O50" s="4" t="s">
        <v>367</v>
      </c>
      <c r="Q50" s="41">
        <f>+Q46-Q49</f>
        <v>910000</v>
      </c>
      <c r="R50" s="4" t="s">
        <v>387</v>
      </c>
    </row>
    <row r="51" spans="1:18" s="29" customFormat="1" ht="16.8" thickTop="1">
      <c r="A51" s="118"/>
      <c r="B51" s="117"/>
      <c r="C51" s="117"/>
      <c r="D51" s="117"/>
      <c r="E51" s="117"/>
      <c r="F51" s="117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8" s="29" customFormat="1">
      <c r="A52" s="118"/>
      <c r="B52" s="117"/>
      <c r="C52" s="119" t="s">
        <v>314</v>
      </c>
      <c r="D52" s="117">
        <f>+E22</f>
        <v>574000</v>
      </c>
      <c r="E52" s="117"/>
      <c r="F52" s="117" t="s">
        <v>340</v>
      </c>
      <c r="H52" s="4"/>
      <c r="I52" s="4"/>
      <c r="J52" s="4"/>
      <c r="K52" s="4"/>
      <c r="L52" s="4"/>
      <c r="M52" s="4"/>
      <c r="N52" s="4" t="s">
        <v>106</v>
      </c>
      <c r="O52" s="4"/>
      <c r="P52" s="4"/>
      <c r="Q52" s="28">
        <f>+Q50</f>
        <v>910000</v>
      </c>
    </row>
    <row r="53" spans="1:18" s="29" customFormat="1">
      <c r="A53" s="118"/>
      <c r="B53" s="120"/>
      <c r="C53" s="121" t="s">
        <v>335</v>
      </c>
      <c r="D53" s="122">
        <f>+D57*A56-D52</f>
        <v>-28000</v>
      </c>
      <c r="E53" s="123"/>
      <c r="F53" s="120">
        <f>+D47</f>
        <v>600000</v>
      </c>
      <c r="H53" s="4"/>
      <c r="I53" s="4"/>
      <c r="J53" s="4"/>
      <c r="K53" s="4"/>
      <c r="L53" s="4"/>
      <c r="M53" s="4"/>
      <c r="N53" s="4" t="s">
        <v>347</v>
      </c>
      <c r="O53" s="4"/>
      <c r="P53" s="4"/>
      <c r="Q53" s="4"/>
    </row>
    <row r="54" spans="1:18" s="29" customFormat="1">
      <c r="A54" s="118"/>
      <c r="B54" s="124" t="s">
        <v>342</v>
      </c>
      <c r="C54" s="122">
        <f>+A56*(C57-D57)</f>
        <v>-6000</v>
      </c>
      <c r="D54" s="125"/>
      <c r="E54" s="126"/>
      <c r="F54" s="120"/>
      <c r="H54" s="4"/>
      <c r="I54" s="4"/>
      <c r="J54" s="4"/>
      <c r="K54" s="4"/>
      <c r="L54" s="4"/>
      <c r="M54" s="4"/>
      <c r="N54" s="52" t="s">
        <v>107</v>
      </c>
      <c r="O54" s="4"/>
      <c r="P54" s="4"/>
      <c r="Q54" s="4"/>
    </row>
    <row r="55" spans="1:18" s="29" customFormat="1">
      <c r="A55" s="118"/>
      <c r="B55" s="120"/>
      <c r="C55" s="125"/>
      <c r="D55" s="127"/>
      <c r="E55" s="128"/>
      <c r="F55" s="120"/>
      <c r="H55" s="4"/>
      <c r="I55" s="4"/>
      <c r="J55" s="4"/>
      <c r="K55" s="4"/>
      <c r="L55" s="4"/>
      <c r="M55" s="4"/>
      <c r="N55" s="4" t="s">
        <v>351</v>
      </c>
      <c r="O55" s="4"/>
      <c r="P55" s="4">
        <f>+Q21</f>
        <v>270000</v>
      </c>
      <c r="Q55" s="4"/>
    </row>
    <row r="56" spans="1:18" s="29" customFormat="1">
      <c r="A56" s="129">
        <f>+F53/E57</f>
        <v>100</v>
      </c>
      <c r="B56" s="130"/>
      <c r="C56" s="131" t="s">
        <v>379</v>
      </c>
      <c r="D56" s="131" t="s">
        <v>380</v>
      </c>
      <c r="E56" s="132" t="s">
        <v>381</v>
      </c>
      <c r="F56" s="120"/>
      <c r="H56" s="4"/>
      <c r="I56" s="4"/>
      <c r="J56" s="4"/>
      <c r="K56" s="4"/>
      <c r="L56" s="4"/>
      <c r="M56" s="4"/>
      <c r="N56" s="4" t="s">
        <v>350</v>
      </c>
      <c r="O56" s="4"/>
      <c r="P56" s="51">
        <f>+L22</f>
        <v>66000</v>
      </c>
      <c r="Q56" s="4">
        <f>+SUM(P55:P56)</f>
        <v>336000</v>
      </c>
    </row>
    <row r="57" spans="1:18" s="29" customFormat="1">
      <c r="A57" s="129">
        <f>+F60/E57</f>
        <v>150</v>
      </c>
      <c r="B57" s="133"/>
      <c r="C57" s="121">
        <v>5400</v>
      </c>
      <c r="D57" s="121">
        <v>5460</v>
      </c>
      <c r="E57" s="134">
        <v>6000</v>
      </c>
      <c r="F57" s="120"/>
      <c r="H57" s="4"/>
      <c r="I57" s="4"/>
      <c r="J57" s="4"/>
      <c r="K57" s="4"/>
      <c r="L57" s="4"/>
      <c r="M57" s="4"/>
      <c r="N57" s="52" t="s">
        <v>108</v>
      </c>
      <c r="O57" s="4"/>
      <c r="P57" s="4"/>
      <c r="Q57" s="4"/>
    </row>
    <row r="58" spans="1:18" s="29" customFormat="1">
      <c r="A58" s="118"/>
      <c r="B58" s="120"/>
      <c r="C58" s="135"/>
      <c r="D58" s="121"/>
      <c r="E58" s="136"/>
      <c r="F58" s="120"/>
      <c r="H58" s="4"/>
      <c r="I58" s="4"/>
      <c r="J58" s="4"/>
      <c r="K58" s="4"/>
      <c r="L58" s="4"/>
      <c r="M58" s="4"/>
      <c r="N58" s="4" t="s">
        <v>352</v>
      </c>
      <c r="O58" s="4"/>
      <c r="P58" s="4">
        <f>+N15</f>
        <v>162000</v>
      </c>
      <c r="Q58" s="4"/>
    </row>
    <row r="59" spans="1:18" s="29" customFormat="1">
      <c r="A59" s="118"/>
      <c r="B59" s="137" t="s">
        <v>383</v>
      </c>
      <c r="C59" s="138">
        <f>+A57*(C57-D57)</f>
        <v>-9000</v>
      </c>
      <c r="D59" s="139"/>
      <c r="E59" s="140"/>
      <c r="F59" s="141"/>
      <c r="H59" s="4"/>
      <c r="I59" s="4"/>
      <c r="J59" s="4"/>
      <c r="K59" s="4"/>
      <c r="L59" s="4"/>
      <c r="M59" s="4"/>
      <c r="N59" s="4" t="s">
        <v>353</v>
      </c>
      <c r="O59" s="4"/>
      <c r="P59" s="51">
        <f>+I16</f>
        <v>84000</v>
      </c>
      <c r="Q59" s="51">
        <f>+SUM(P58:P59)</f>
        <v>246000</v>
      </c>
    </row>
    <row r="60" spans="1:18" s="29" customFormat="1" ht="16.8" thickBot="1">
      <c r="A60" s="118"/>
      <c r="B60" s="142"/>
      <c r="C60" s="143" t="s">
        <v>382</v>
      </c>
      <c r="D60" s="144">
        <f>+D57*A57-F60</f>
        <v>-81000</v>
      </c>
      <c r="E60" s="145"/>
      <c r="F60" s="141">
        <v>900000</v>
      </c>
      <c r="H60" s="4"/>
      <c r="I60" s="4"/>
      <c r="J60" s="4"/>
      <c r="K60" s="4"/>
      <c r="L60" s="4"/>
      <c r="M60" s="4"/>
      <c r="N60" s="4" t="s">
        <v>113</v>
      </c>
      <c r="O60" s="4"/>
      <c r="P60" s="4"/>
      <c r="Q60" s="41">
        <f>+Q52+Q56-Q59</f>
        <v>1000000</v>
      </c>
      <c r="R60" s="29" t="s">
        <v>388</v>
      </c>
    </row>
    <row r="61" spans="1:18" s="29" customFormat="1" ht="16.8" thickTop="1">
      <c r="A61" s="118"/>
      <c r="B61" s="118"/>
      <c r="C61" s="146" t="s">
        <v>384</v>
      </c>
      <c r="D61" s="147">
        <f>+F60-D62</f>
        <v>12000</v>
      </c>
      <c r="E61" s="118"/>
      <c r="F61" s="118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8" s="29" customFormat="1">
      <c r="A62" s="118"/>
      <c r="B62" s="118"/>
      <c r="C62" s="146" t="s">
        <v>385</v>
      </c>
      <c r="D62" s="118">
        <f>+E23</f>
        <v>888000</v>
      </c>
      <c r="E62" s="118"/>
      <c r="F62" s="118"/>
      <c r="H62" s="4"/>
      <c r="I62" s="4"/>
      <c r="J62" s="4"/>
      <c r="K62" s="4"/>
      <c r="L62" s="4"/>
      <c r="M62" s="4"/>
      <c r="N62" s="4"/>
      <c r="O62" s="4"/>
      <c r="P62" s="4"/>
      <c r="Q62" s="4"/>
    </row>
    <row r="64" spans="1:18" ht="18" customHeight="1">
      <c r="A64" s="13" t="s">
        <v>328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/>
    </row>
    <row r="65" spans="1:17">
      <c r="A65" s="16" t="s">
        <v>394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</row>
    <row r="66" spans="1:17">
      <c r="A66" s="16" t="s">
        <v>395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/>
    </row>
    <row r="67" spans="1:17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</row>
    <row r="70" spans="1:17">
      <c r="A70" s="4" t="s">
        <v>206</v>
      </c>
    </row>
    <row r="71" spans="1:17">
      <c r="B71" s="26" t="s">
        <v>11</v>
      </c>
      <c r="C71" s="88"/>
      <c r="D71" s="88"/>
      <c r="E71" s="88"/>
      <c r="F71" s="89"/>
      <c r="H71" s="29"/>
      <c r="I71" s="29"/>
      <c r="J71" s="4" t="s">
        <v>280</v>
      </c>
      <c r="O71" s="4" t="s">
        <v>284</v>
      </c>
    </row>
    <row r="72" spans="1:17">
      <c r="B72" s="54" t="s">
        <v>167</v>
      </c>
      <c r="C72" s="90">
        <v>80</v>
      </c>
      <c r="D72" s="91">
        <v>4</v>
      </c>
      <c r="E72" s="92">
        <f>+C72*D72</f>
        <v>320</v>
      </c>
      <c r="F72" s="93"/>
      <c r="H72" s="29"/>
      <c r="I72" s="29"/>
      <c r="J72" s="26" t="s">
        <v>165</v>
      </c>
      <c r="K72" s="24" t="s">
        <v>166</v>
      </c>
      <c r="O72" s="26" t="s">
        <v>180</v>
      </c>
      <c r="P72" s="24" t="s">
        <v>181</v>
      </c>
    </row>
    <row r="73" spans="1:17">
      <c r="B73" s="54" t="s">
        <v>302</v>
      </c>
      <c r="C73" s="94">
        <v>120</v>
      </c>
      <c r="D73" s="95">
        <v>4</v>
      </c>
      <c r="E73" s="92">
        <f>+C73*D73</f>
        <v>480</v>
      </c>
      <c r="F73" s="93"/>
      <c r="H73" s="81" t="str">
        <f>+B72</f>
        <v>直接材料費</v>
      </c>
      <c r="I73" s="29" t="s">
        <v>322</v>
      </c>
      <c r="J73" s="54">
        <v>350</v>
      </c>
      <c r="K73" s="53">
        <f>+J73+J79-K79</f>
        <v>1380</v>
      </c>
      <c r="L73" s="4">
        <f>+$K$73*E72</f>
        <v>441600</v>
      </c>
      <c r="M73" s="81"/>
      <c r="O73" s="54">
        <v>270</v>
      </c>
      <c r="P73" s="53">
        <f>+O73+O79-P79</f>
        <v>1200</v>
      </c>
    </row>
    <row r="74" spans="1:17">
      <c r="B74" s="54" t="s">
        <v>303</v>
      </c>
      <c r="C74" s="94"/>
      <c r="D74" s="95"/>
      <c r="E74" s="92"/>
      <c r="F74" s="93"/>
      <c r="H74" s="81" t="str">
        <f>+B73</f>
        <v>直接労務費</v>
      </c>
      <c r="I74" s="29" t="s">
        <v>261</v>
      </c>
      <c r="J74" s="54">
        <f>+J73*0.4</f>
        <v>140</v>
      </c>
      <c r="K74" s="53"/>
      <c r="L74" s="4">
        <f t="shared" ref="L74" si="1">+$K$73*E73</f>
        <v>662400</v>
      </c>
      <c r="M74" s="81" t="s">
        <v>242</v>
      </c>
      <c r="N74" s="4" t="s">
        <v>322</v>
      </c>
      <c r="O74" s="54"/>
      <c r="P74" s="53"/>
      <c r="Q74" s="4">
        <f>+P73*SUM(E72:E75)</f>
        <v>1440000</v>
      </c>
    </row>
    <row r="75" spans="1:17">
      <c r="B75" s="54" t="s">
        <v>304</v>
      </c>
      <c r="C75" s="94">
        <v>100</v>
      </c>
      <c r="D75" s="95">
        <v>4</v>
      </c>
      <c r="E75" s="92">
        <f t="shared" ref="E75:E76" si="2">+C75*D75</f>
        <v>400</v>
      </c>
      <c r="F75" s="93"/>
      <c r="H75" s="81" t="s">
        <v>320</v>
      </c>
      <c r="I75" s="29" t="s">
        <v>261</v>
      </c>
      <c r="J75" s="54"/>
      <c r="K75" s="53"/>
      <c r="L75" s="4">
        <f>+$K$73*E75</f>
        <v>552000</v>
      </c>
      <c r="M75" s="81" t="s">
        <v>243</v>
      </c>
      <c r="N75" s="4">
        <f>+O73*E76</f>
        <v>162000</v>
      </c>
      <c r="O75" s="54"/>
      <c r="P75" s="53"/>
      <c r="Q75" s="4">
        <f>+P73*E76</f>
        <v>720000</v>
      </c>
    </row>
    <row r="76" spans="1:17">
      <c r="B76" s="54" t="s">
        <v>305</v>
      </c>
      <c r="C76" s="94">
        <v>150</v>
      </c>
      <c r="D76" s="95">
        <v>4</v>
      </c>
      <c r="E76" s="92">
        <f t="shared" si="2"/>
        <v>600</v>
      </c>
      <c r="F76" s="93"/>
      <c r="H76" s="81" t="s">
        <v>321</v>
      </c>
      <c r="I76" s="29">
        <f>+J74*E76</f>
        <v>84000</v>
      </c>
      <c r="J76" s="25"/>
      <c r="K76" s="53"/>
      <c r="L76" s="4">
        <f>+$K$73*E76</f>
        <v>828000</v>
      </c>
      <c r="O76" s="25"/>
      <c r="P76" s="53"/>
    </row>
    <row r="77" spans="1:17" ht="16.8" thickBot="1">
      <c r="B77" s="54"/>
      <c r="C77" s="27"/>
      <c r="D77" s="27"/>
      <c r="E77" s="57">
        <f>SUM(E72:E76)</f>
        <v>1800</v>
      </c>
      <c r="F77" s="93" t="s">
        <v>161</v>
      </c>
      <c r="H77" s="29"/>
      <c r="I77" s="29"/>
      <c r="J77" s="24"/>
      <c r="K77" s="22"/>
      <c r="O77" s="24"/>
      <c r="P77" s="22"/>
    </row>
    <row r="78" spans="1:17" ht="16.8" thickTop="1">
      <c r="B78" s="54"/>
      <c r="C78" s="27"/>
      <c r="D78" s="27"/>
      <c r="E78" s="27"/>
      <c r="F78" s="93"/>
      <c r="H78" s="29"/>
      <c r="I78" s="29"/>
      <c r="J78" s="53" t="s">
        <v>171</v>
      </c>
      <c r="K78" s="24" t="s">
        <v>170</v>
      </c>
      <c r="O78" s="53" t="s">
        <v>281</v>
      </c>
      <c r="P78" s="24" t="s">
        <v>182</v>
      </c>
    </row>
    <row r="79" spans="1:17">
      <c r="B79" s="54" t="s">
        <v>325</v>
      </c>
      <c r="C79" s="27"/>
      <c r="D79" s="27"/>
      <c r="E79" s="27"/>
      <c r="F79" s="93" t="s">
        <v>335</v>
      </c>
      <c r="H79" s="81" t="s">
        <v>300</v>
      </c>
      <c r="I79" s="29">
        <f>+J79*E72</f>
        <v>400000</v>
      </c>
      <c r="J79" s="53">
        <v>1250</v>
      </c>
      <c r="K79" s="53">
        <v>220</v>
      </c>
      <c r="L79" s="4" t="s">
        <v>323</v>
      </c>
      <c r="O79" s="53">
        <f>+K73</f>
        <v>1380</v>
      </c>
      <c r="P79" s="53">
        <v>450</v>
      </c>
    </row>
    <row r="80" spans="1:17">
      <c r="B80" s="54" t="s">
        <v>167</v>
      </c>
      <c r="C80" s="90">
        <v>83</v>
      </c>
      <c r="D80" s="96">
        <v>5140</v>
      </c>
      <c r="E80" s="97">
        <f>+C80*D80</f>
        <v>426620</v>
      </c>
      <c r="F80" s="93"/>
      <c r="H80" s="81" t="s">
        <v>301</v>
      </c>
      <c r="I80" s="29">
        <f>+J80*E73</f>
        <v>648000</v>
      </c>
      <c r="J80" s="53">
        <f>+K73+K80-J74</f>
        <v>1350</v>
      </c>
      <c r="K80" s="53">
        <f>+K79*0.5</f>
        <v>110</v>
      </c>
      <c r="L80" s="4" t="s">
        <v>261</v>
      </c>
      <c r="M80" s="81" t="s">
        <v>242</v>
      </c>
      <c r="N80" s="4">
        <f>+SUM(L73:L75)</f>
        <v>1656000</v>
      </c>
      <c r="O80" s="53"/>
      <c r="P80" s="53"/>
      <c r="Q80" s="4" t="s">
        <v>322</v>
      </c>
    </row>
    <row r="81" spans="2:17">
      <c r="B81" s="54" t="s">
        <v>302</v>
      </c>
      <c r="C81" s="94">
        <v>115</v>
      </c>
      <c r="D81" s="98">
        <v>5500</v>
      </c>
      <c r="E81" s="97">
        <f>+C81*D81</f>
        <v>632500</v>
      </c>
      <c r="F81" s="93"/>
      <c r="H81" s="81" t="s">
        <v>320</v>
      </c>
      <c r="I81" s="29">
        <f>+J80*E75</f>
        <v>540000</v>
      </c>
      <c r="J81" s="53"/>
      <c r="K81" s="53"/>
      <c r="L81" s="4" t="s">
        <v>261</v>
      </c>
      <c r="M81" s="81" t="s">
        <v>243</v>
      </c>
      <c r="N81" s="4">
        <f>+L76</f>
        <v>828000</v>
      </c>
      <c r="O81" s="53"/>
      <c r="P81" s="53"/>
      <c r="Q81" s="4">
        <f>+P79*E76</f>
        <v>270000</v>
      </c>
    </row>
    <row r="82" spans="2:17">
      <c r="B82" s="54" t="s">
        <v>320</v>
      </c>
      <c r="C82" s="94"/>
      <c r="D82" s="98"/>
      <c r="E82" s="99">
        <v>570000</v>
      </c>
      <c r="F82" s="93">
        <f>+I81-E82</f>
        <v>-30000</v>
      </c>
      <c r="H82" s="81" t="s">
        <v>321</v>
      </c>
      <c r="I82" s="29">
        <f>+J80*E76</f>
        <v>810000</v>
      </c>
      <c r="J82" s="23"/>
      <c r="K82" s="23"/>
      <c r="L82" s="4">
        <f>+K80*E76</f>
        <v>66000</v>
      </c>
      <c r="O82" s="23"/>
      <c r="P82" s="23"/>
    </row>
    <row r="83" spans="2:17">
      <c r="B83" s="54" t="s">
        <v>321</v>
      </c>
      <c r="C83" s="94"/>
      <c r="D83" s="98"/>
      <c r="E83" s="99">
        <v>880000</v>
      </c>
      <c r="F83" s="93"/>
    </row>
    <row r="84" spans="2:17">
      <c r="B84" s="54" t="s">
        <v>326</v>
      </c>
      <c r="C84" s="94"/>
      <c r="D84" s="98"/>
      <c r="E84" s="99">
        <v>122400</v>
      </c>
      <c r="F84" s="93">
        <f>+P73*C103-E84</f>
        <v>-2400</v>
      </c>
    </row>
    <row r="85" spans="2:17">
      <c r="B85" s="25" t="s">
        <v>327</v>
      </c>
      <c r="C85" s="100"/>
      <c r="D85" s="101"/>
      <c r="E85" s="102">
        <v>116480</v>
      </c>
      <c r="F85" s="22"/>
    </row>
    <row r="86" spans="2:17">
      <c r="N86" s="4" t="s">
        <v>389</v>
      </c>
    </row>
    <row r="87" spans="2:17">
      <c r="B87" s="4" t="s">
        <v>315</v>
      </c>
      <c r="N87" s="4" t="s">
        <v>87</v>
      </c>
      <c r="Q87" s="4">
        <f>+P73*C102</f>
        <v>3600000</v>
      </c>
    </row>
    <row r="88" spans="2:17">
      <c r="C88" s="4" t="s">
        <v>176</v>
      </c>
      <c r="D88" s="58" t="s">
        <v>314</v>
      </c>
      <c r="E88" s="4">
        <f>+B89*E92</f>
        <v>426620</v>
      </c>
      <c r="N88" s="4" t="s">
        <v>134</v>
      </c>
      <c r="Q88" s="4">
        <f>+Q74</f>
        <v>1440000</v>
      </c>
    </row>
    <row r="89" spans="2:17">
      <c r="B89" s="4">
        <f>+C80</f>
        <v>83</v>
      </c>
      <c r="C89" s="84" t="s">
        <v>312</v>
      </c>
      <c r="D89" s="86">
        <f>+(B90-B89)*E92</f>
        <v>-15420</v>
      </c>
      <c r="E89" s="85"/>
      <c r="O89" s="4" t="s">
        <v>135</v>
      </c>
      <c r="Q89" s="51">
        <f>+Q87-Q88</f>
        <v>2160000</v>
      </c>
    </row>
    <row r="90" spans="2:17">
      <c r="B90" s="4">
        <f>+C72</f>
        <v>80</v>
      </c>
      <c r="C90" s="54" t="s">
        <v>313</v>
      </c>
      <c r="D90" s="27"/>
      <c r="E90" s="24" t="s">
        <v>311</v>
      </c>
      <c r="N90" s="4" t="s">
        <v>136</v>
      </c>
      <c r="Q90" s="4">
        <f>+P73*C103</f>
        <v>120000</v>
      </c>
    </row>
    <row r="91" spans="2:17">
      <c r="C91" s="25"/>
      <c r="D91" s="51">
        <f>+B90*D92</f>
        <v>400000</v>
      </c>
      <c r="E91" s="87">
        <f>+(D92-E92)*B90</f>
        <v>-11200</v>
      </c>
      <c r="O91" s="4" t="s">
        <v>324</v>
      </c>
      <c r="Q91" s="4">
        <f>+Q89-Q90</f>
        <v>2040000</v>
      </c>
    </row>
    <row r="92" spans="2:17">
      <c r="D92" s="4">
        <f>+J79*D72</f>
        <v>5000</v>
      </c>
      <c r="E92" s="4">
        <f>+D80</f>
        <v>5140</v>
      </c>
      <c r="F92" s="4" t="s">
        <v>308</v>
      </c>
      <c r="N92" s="4" t="s">
        <v>137</v>
      </c>
    </row>
    <row r="93" spans="2:17">
      <c r="D93" s="58" t="s">
        <v>309</v>
      </c>
      <c r="E93" s="58" t="s">
        <v>310</v>
      </c>
      <c r="N93" s="4" t="s">
        <v>138</v>
      </c>
      <c r="P93" s="4">
        <f>+D89</f>
        <v>-15420</v>
      </c>
    </row>
    <row r="94" spans="2:17">
      <c r="B94" s="4" t="s">
        <v>316</v>
      </c>
      <c r="N94" s="4" t="s">
        <v>139</v>
      </c>
      <c r="P94" s="4">
        <f>+E91</f>
        <v>-11200</v>
      </c>
    </row>
    <row r="95" spans="2:17">
      <c r="C95" s="4" t="s">
        <v>176</v>
      </c>
      <c r="D95" s="58" t="s">
        <v>314</v>
      </c>
      <c r="E95" s="4">
        <f>+B96*E99</f>
        <v>632500</v>
      </c>
      <c r="N95" s="4" t="s">
        <v>140</v>
      </c>
      <c r="P95" s="4">
        <f>+D96</f>
        <v>27500</v>
      </c>
    </row>
    <row r="96" spans="2:17">
      <c r="B96" s="4">
        <f>+C81</f>
        <v>115</v>
      </c>
      <c r="C96" s="84" t="s">
        <v>318</v>
      </c>
      <c r="D96" s="86">
        <f>+(B97-B96)*E99</f>
        <v>27500</v>
      </c>
      <c r="E96" s="85"/>
      <c r="N96" s="4" t="s">
        <v>141</v>
      </c>
      <c r="P96" s="12">
        <f>+E98</f>
        <v>-12000</v>
      </c>
    </row>
    <row r="97" spans="1:17">
      <c r="B97" s="4">
        <f>+C73</f>
        <v>120</v>
      </c>
      <c r="C97" s="54" t="s">
        <v>313</v>
      </c>
      <c r="D97" s="27"/>
      <c r="E97" s="24" t="s">
        <v>319</v>
      </c>
      <c r="N97" s="4" t="s">
        <v>142</v>
      </c>
      <c r="P97" s="117">
        <f>+D113</f>
        <v>-20000</v>
      </c>
    </row>
    <row r="98" spans="1:17">
      <c r="C98" s="25"/>
      <c r="D98" s="51">
        <f>+B97*D99</f>
        <v>648000</v>
      </c>
      <c r="E98" s="87">
        <f>+(D99-E99)*B97</f>
        <v>-12000</v>
      </c>
      <c r="N98" s="4" t="s">
        <v>143</v>
      </c>
      <c r="P98" s="117">
        <f>+C114</f>
        <v>-10000</v>
      </c>
    </row>
    <row r="99" spans="1:17">
      <c r="D99" s="4">
        <f>+D73*J80</f>
        <v>5400</v>
      </c>
      <c r="E99" s="4">
        <f>+D81</f>
        <v>5500</v>
      </c>
      <c r="F99" s="4" t="s">
        <v>317</v>
      </c>
      <c r="N99" s="4" t="s">
        <v>144</v>
      </c>
      <c r="P99" s="117">
        <f>+F84</f>
        <v>-2400</v>
      </c>
      <c r="Q99" s="4">
        <f>+SUM(P93:P99)</f>
        <v>-43520</v>
      </c>
    </row>
    <row r="100" spans="1:17">
      <c r="D100" s="58" t="s">
        <v>309</v>
      </c>
      <c r="E100" s="58" t="s">
        <v>310</v>
      </c>
      <c r="O100" s="4" t="s">
        <v>145</v>
      </c>
      <c r="Q100" s="4">
        <f>+Q91+Q99</f>
        <v>1996480</v>
      </c>
    </row>
    <row r="101" spans="1:17">
      <c r="N101" s="4" t="s">
        <v>146</v>
      </c>
    </row>
    <row r="102" spans="1:17">
      <c r="B102" s="4" t="s">
        <v>306</v>
      </c>
      <c r="C102" s="4">
        <v>3000</v>
      </c>
      <c r="N102" s="4" t="s">
        <v>147</v>
      </c>
      <c r="P102" s="4">
        <f>+E83</f>
        <v>880000</v>
      </c>
    </row>
    <row r="103" spans="1:17">
      <c r="B103" s="4" t="s">
        <v>307</v>
      </c>
      <c r="C103" s="4">
        <v>100</v>
      </c>
      <c r="N103" s="4" t="s">
        <v>148</v>
      </c>
      <c r="P103" s="51">
        <f>+E85</f>
        <v>116480</v>
      </c>
      <c r="Q103" s="51">
        <f>+SUM(P102:P103)</f>
        <v>996480</v>
      </c>
    </row>
    <row r="104" spans="1:17">
      <c r="O104" s="4" t="s">
        <v>149</v>
      </c>
      <c r="Q104" s="28">
        <f>+Q100-Q103</f>
        <v>1000000</v>
      </c>
    </row>
    <row r="105" spans="1:17">
      <c r="B105" s="4" t="s">
        <v>329</v>
      </c>
      <c r="O105" s="4" t="s">
        <v>150</v>
      </c>
      <c r="Q105" s="4">
        <f>+SUM(Q81,L82,-N75,-I76)</f>
        <v>90000</v>
      </c>
    </row>
    <row r="106" spans="1:17" ht="16.8" thickBot="1">
      <c r="B106" s="4" t="s">
        <v>330</v>
      </c>
      <c r="D106" s="4">
        <v>6000</v>
      </c>
      <c r="E106" s="4" t="s">
        <v>333</v>
      </c>
      <c r="O106" s="4" t="s">
        <v>151</v>
      </c>
      <c r="Q106" s="41">
        <f>+Q104+Q105</f>
        <v>1090000</v>
      </c>
    </row>
    <row r="107" spans="1:17" ht="16.8" thickTop="1">
      <c r="B107" s="4" t="s">
        <v>331</v>
      </c>
      <c r="D107" s="4">
        <v>600000</v>
      </c>
      <c r="E107" s="4" t="s">
        <v>334</v>
      </c>
    </row>
    <row r="108" spans="1:17">
      <c r="B108" s="4" t="s">
        <v>332</v>
      </c>
      <c r="D108" s="103">
        <v>900000</v>
      </c>
      <c r="E108" s="4" t="s">
        <v>361</v>
      </c>
    </row>
    <row r="110" spans="1:17">
      <c r="A110" s="117"/>
      <c r="B110" s="117" t="s">
        <v>336</v>
      </c>
      <c r="C110" s="117"/>
      <c r="D110" s="117"/>
      <c r="E110" s="117"/>
      <c r="F110" s="117"/>
    </row>
    <row r="111" spans="1:17">
      <c r="A111" s="117"/>
      <c r="B111" s="117"/>
      <c r="C111" s="117"/>
      <c r="D111" s="117"/>
      <c r="E111" s="117"/>
      <c r="F111" s="117"/>
    </row>
    <row r="112" spans="1:17">
      <c r="A112" s="117"/>
      <c r="B112" s="117"/>
      <c r="C112" s="119" t="s">
        <v>341</v>
      </c>
      <c r="D112" s="117">
        <f>+E82</f>
        <v>570000</v>
      </c>
      <c r="E112" s="117"/>
      <c r="F112" s="117" t="s">
        <v>340</v>
      </c>
    </row>
    <row r="113" spans="1:6">
      <c r="A113" s="117"/>
      <c r="B113" s="117"/>
      <c r="C113" s="119" t="s">
        <v>335</v>
      </c>
      <c r="D113" s="117">
        <f>+E114-D112</f>
        <v>-20000</v>
      </c>
      <c r="E113" s="123"/>
      <c r="F113" s="120">
        <f>+D107</f>
        <v>600000</v>
      </c>
    </row>
    <row r="114" spans="1:6">
      <c r="A114" s="117"/>
      <c r="B114" s="119" t="s">
        <v>342</v>
      </c>
      <c r="C114" s="117">
        <f>+D115-E114</f>
        <v>-10000</v>
      </c>
      <c r="D114" s="125"/>
      <c r="E114" s="126">
        <f>+D118*B117</f>
        <v>550000</v>
      </c>
      <c r="F114" s="120"/>
    </row>
    <row r="115" spans="1:6">
      <c r="A115" s="117"/>
      <c r="B115" s="117"/>
      <c r="C115" s="125"/>
      <c r="D115" s="117">
        <f>+C118*B117</f>
        <v>540000</v>
      </c>
      <c r="E115" s="128"/>
      <c r="F115" s="120"/>
    </row>
    <row r="116" spans="1:6">
      <c r="A116" s="149"/>
      <c r="B116" s="150"/>
      <c r="C116" s="148"/>
      <c r="D116" s="148"/>
      <c r="E116" s="151"/>
      <c r="F116" s="120"/>
    </row>
    <row r="117" spans="1:6">
      <c r="A117" s="117"/>
      <c r="B117" s="152">
        <f>+F113/E118</f>
        <v>100</v>
      </c>
      <c r="C117" s="119" t="s">
        <v>338</v>
      </c>
      <c r="D117" s="119" t="s">
        <v>339</v>
      </c>
      <c r="E117" s="119" t="s">
        <v>337</v>
      </c>
      <c r="F117" s="117"/>
    </row>
    <row r="118" spans="1:6">
      <c r="A118" s="117"/>
      <c r="B118" s="117"/>
      <c r="C118" s="119">
        <f>+D99</f>
        <v>5400</v>
      </c>
      <c r="D118" s="119">
        <f>+E99</f>
        <v>5500</v>
      </c>
      <c r="E118" s="119">
        <v>6000</v>
      </c>
      <c r="F118" s="117"/>
    </row>
  </sheetData>
  <phoneticPr fontId="3"/>
  <pageMargins left="0.23622047244094491" right="0.23622047244094491" top="0.74803149606299213" bottom="0.74803149606299213" header="0.31496062992125984" footer="0.31496062992125984"/>
  <pageSetup paperSize="9" scale="64" fitToHeight="0" orientation="landscape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70"/>
  <sheetViews>
    <sheetView zoomScale="90" zoomScaleNormal="90" workbookViewId="0">
      <selection activeCell="C18" sqref="C18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396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460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 t="s">
        <v>461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 t="s">
        <v>462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6" t="s">
        <v>463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>
      <c r="A9" s="19" t="s">
        <v>464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</row>
    <row r="10" spans="1:17" s="29" customFormat="1"/>
    <row r="11" spans="1:17" s="29" customFormat="1" ht="17.399999999999999">
      <c r="B11" s="29" t="s">
        <v>206</v>
      </c>
      <c r="C11" s="29" t="s">
        <v>420</v>
      </c>
      <c r="D11" s="29" t="s">
        <v>422</v>
      </c>
      <c r="F11" s="118" t="s">
        <v>456</v>
      </c>
      <c r="G11" s="117" t="s">
        <v>424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 s="29" customFormat="1">
      <c r="B12" s="29" t="s">
        <v>398</v>
      </c>
      <c r="C12" s="29" t="s">
        <v>418</v>
      </c>
      <c r="D12" s="29" t="s">
        <v>419</v>
      </c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s="29" customFormat="1">
      <c r="B13" s="29">
        <v>9</v>
      </c>
      <c r="C13" s="29">
        <v>200</v>
      </c>
      <c r="D13" s="29">
        <v>2800</v>
      </c>
      <c r="F13" s="118">
        <f>+C13*D13</f>
        <v>560000</v>
      </c>
      <c r="G13" s="118">
        <f>+C13*C13</f>
        <v>40000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7" s="29" customFormat="1">
      <c r="B14" s="29">
        <v>10</v>
      </c>
      <c r="C14" s="29">
        <v>300</v>
      </c>
      <c r="D14" s="29">
        <v>4800</v>
      </c>
      <c r="F14" s="118">
        <f t="shared" ref="F14:F16" si="0">+C14*D14</f>
        <v>1440000</v>
      </c>
      <c r="G14" s="118">
        <f t="shared" ref="G14:G16" si="1">+C14*C14</f>
        <v>90000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s="29" customFormat="1">
      <c r="B15" s="29">
        <v>11</v>
      </c>
      <c r="C15" s="29">
        <v>100</v>
      </c>
      <c r="D15" s="29">
        <v>2400</v>
      </c>
      <c r="E15" s="29" t="s">
        <v>406</v>
      </c>
      <c r="F15" s="118">
        <f t="shared" si="0"/>
        <v>240000</v>
      </c>
      <c r="G15" s="118">
        <f t="shared" si="1"/>
        <v>10000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 s="29" customFormat="1">
      <c r="B16" s="29">
        <v>12</v>
      </c>
      <c r="C16" s="29">
        <v>400</v>
      </c>
      <c r="D16" s="29">
        <v>5400</v>
      </c>
      <c r="E16" s="29" t="s">
        <v>405</v>
      </c>
      <c r="F16" s="118">
        <f t="shared" si="0"/>
        <v>2160000</v>
      </c>
      <c r="G16" s="118">
        <f t="shared" si="1"/>
        <v>160000</v>
      </c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s="29" customFormat="1">
      <c r="B17" s="29" t="s">
        <v>363</v>
      </c>
      <c r="C17" s="29">
        <f>+SUM(C13:C16)</f>
        <v>1000</v>
      </c>
      <c r="D17" s="29">
        <f>+SUM(D13:D16)</f>
        <v>15400</v>
      </c>
      <c r="F17" s="118">
        <f t="shared" ref="F17:G17" si="2">+SUM(F13:F16)</f>
        <v>4400000</v>
      </c>
      <c r="G17" s="118">
        <f t="shared" si="2"/>
        <v>300000</v>
      </c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s="29" customFormat="1"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</row>
    <row r="19" spans="1:17" s="29" customFormat="1">
      <c r="B19" s="172" t="s">
        <v>453</v>
      </c>
      <c r="F19" s="147" t="s">
        <v>455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7" s="29" customFormat="1">
      <c r="B20" s="29" t="s">
        <v>452</v>
      </c>
      <c r="C20" s="12"/>
      <c r="D20" s="12"/>
      <c r="E20" s="12"/>
      <c r="F20" s="117" t="s">
        <v>430</v>
      </c>
      <c r="G20" s="166" t="s">
        <v>432</v>
      </c>
      <c r="H20" s="169" t="s">
        <v>436</v>
      </c>
      <c r="I20" s="167" t="s">
        <v>426</v>
      </c>
      <c r="J20" s="169" t="s">
        <v>433</v>
      </c>
      <c r="K20" s="170" t="s">
        <v>434</v>
      </c>
      <c r="L20" s="118"/>
      <c r="M20" s="118"/>
      <c r="N20" s="118"/>
      <c r="O20" s="118"/>
      <c r="P20" s="118"/>
      <c r="Q20" s="118"/>
    </row>
    <row r="21" spans="1:17" s="29" customFormat="1" ht="17.399999999999999">
      <c r="B21" s="4" t="s">
        <v>409</v>
      </c>
      <c r="C21" s="4"/>
      <c r="D21" s="4"/>
      <c r="F21" s="117" t="s">
        <v>431</v>
      </c>
      <c r="G21" s="166" t="s">
        <v>437</v>
      </c>
      <c r="H21" s="169" t="s">
        <v>436</v>
      </c>
      <c r="I21" s="167" t="s">
        <v>438</v>
      </c>
      <c r="J21" s="169" t="s">
        <v>433</v>
      </c>
      <c r="K21" s="167" t="s">
        <v>426</v>
      </c>
      <c r="L21" s="118"/>
      <c r="M21" s="118"/>
      <c r="N21" s="118"/>
      <c r="O21" s="118"/>
      <c r="P21" s="118"/>
      <c r="Q21" s="118"/>
    </row>
    <row r="22" spans="1:17" s="29" customFormat="1">
      <c r="B22" s="4"/>
      <c r="C22" s="4" t="s">
        <v>454</v>
      </c>
      <c r="D22" s="4"/>
      <c r="F22" s="117"/>
      <c r="G22" s="117"/>
      <c r="H22" s="117"/>
      <c r="I22" s="117"/>
      <c r="J22" s="117"/>
      <c r="K22" s="117"/>
      <c r="L22" s="118"/>
      <c r="M22" s="118"/>
      <c r="N22" s="118"/>
      <c r="O22" s="118"/>
      <c r="P22" s="118"/>
      <c r="Q22" s="118"/>
    </row>
    <row r="23" spans="1:17" s="29" customFormat="1">
      <c r="B23" s="58" t="s">
        <v>411</v>
      </c>
      <c r="C23" s="28">
        <f>+(D16-D15)/(C16-C15)</f>
        <v>10</v>
      </c>
      <c r="D23" s="4" t="s">
        <v>451</v>
      </c>
      <c r="F23" s="117" t="s">
        <v>439</v>
      </c>
      <c r="G23" s="117"/>
      <c r="H23" s="117"/>
      <c r="I23" s="117"/>
      <c r="J23" s="117"/>
      <c r="K23" s="117"/>
      <c r="L23" s="118"/>
      <c r="M23" s="118"/>
      <c r="N23" s="118"/>
      <c r="O23" s="118"/>
      <c r="P23" s="118"/>
      <c r="Q23" s="118"/>
    </row>
    <row r="24" spans="1:17" s="29" customFormat="1">
      <c r="B24" s="4"/>
      <c r="C24" s="4"/>
      <c r="D24" s="4"/>
      <c r="F24" s="117"/>
      <c r="G24" s="166">
        <f>+D17</f>
        <v>15400</v>
      </c>
      <c r="H24" s="169" t="s">
        <v>436</v>
      </c>
      <c r="I24" s="167">
        <f>+C17</f>
        <v>1000</v>
      </c>
      <c r="J24" s="169" t="s">
        <v>433</v>
      </c>
      <c r="K24" s="170">
        <v>4</v>
      </c>
      <c r="L24" s="118"/>
      <c r="M24" s="146" t="s">
        <v>441</v>
      </c>
      <c r="N24" s="118">
        <f>+G24</f>
        <v>15400</v>
      </c>
      <c r="O24" s="118" t="s">
        <v>457</v>
      </c>
      <c r="P24" s="118">
        <f>+I24</f>
        <v>1000</v>
      </c>
      <c r="Q24" s="118" t="s">
        <v>458</v>
      </c>
    </row>
    <row r="25" spans="1:17">
      <c r="B25" s="4" t="s">
        <v>412</v>
      </c>
      <c r="E25" s="29"/>
      <c r="F25" s="117"/>
      <c r="G25" s="166">
        <f>+F17</f>
        <v>4400000</v>
      </c>
      <c r="H25" s="169" t="s">
        <v>436</v>
      </c>
      <c r="I25" s="167">
        <f>+G17</f>
        <v>300000</v>
      </c>
      <c r="J25" s="169" t="s">
        <v>433</v>
      </c>
      <c r="K25" s="167">
        <f>+C17</f>
        <v>1000</v>
      </c>
      <c r="L25" s="118" t="s">
        <v>459</v>
      </c>
      <c r="M25" s="146" t="s">
        <v>441</v>
      </c>
      <c r="N25" s="117">
        <f>+G25/250</f>
        <v>17600</v>
      </c>
      <c r="O25" s="117" t="s">
        <v>457</v>
      </c>
      <c r="P25" s="117">
        <f>+I25/250</f>
        <v>1200</v>
      </c>
      <c r="Q25" s="117" t="s">
        <v>435</v>
      </c>
    </row>
    <row r="26" spans="1:17" s="12" customFormat="1">
      <c r="B26" s="58" t="s">
        <v>413</v>
      </c>
      <c r="C26" s="28">
        <f>+D15-C15*C23</f>
        <v>1400</v>
      </c>
      <c r="D26" s="4" t="s">
        <v>161</v>
      </c>
      <c r="E26" s="4"/>
      <c r="F26" s="117"/>
      <c r="G26" s="168"/>
      <c r="H26" s="169"/>
      <c r="I26" s="170"/>
      <c r="J26" s="169"/>
      <c r="K26" s="170"/>
      <c r="L26" s="117"/>
      <c r="M26" s="117"/>
      <c r="N26" s="117"/>
      <c r="O26" s="117"/>
      <c r="P26" s="117"/>
      <c r="Q26" s="117"/>
    </row>
    <row r="27" spans="1:17" s="12" customFormat="1">
      <c r="B27" s="171"/>
      <c r="F27" s="117"/>
      <c r="G27" s="168"/>
      <c r="H27" s="169"/>
      <c r="I27" s="170"/>
      <c r="J27" s="169"/>
      <c r="K27" s="170"/>
      <c r="L27" s="117"/>
      <c r="M27" s="117" t="s">
        <v>445</v>
      </c>
      <c r="N27" s="117">
        <f>+P25-P24</f>
        <v>200</v>
      </c>
      <c r="O27" s="117" t="s">
        <v>449</v>
      </c>
      <c r="P27" s="117">
        <f>+N25-N24</f>
        <v>2200</v>
      </c>
      <c r="Q27" s="117"/>
    </row>
    <row r="28" spans="1:17" s="12" customFormat="1">
      <c r="B28" s="171"/>
      <c r="F28" s="117"/>
      <c r="G28" s="168"/>
      <c r="H28" s="169"/>
      <c r="I28" s="170"/>
      <c r="J28" s="169"/>
      <c r="K28" s="170"/>
      <c r="L28" s="117"/>
      <c r="M28" s="117"/>
      <c r="N28" s="117"/>
      <c r="O28" s="117" t="s">
        <v>450</v>
      </c>
      <c r="P28" s="28">
        <f>+P27/N27</f>
        <v>11</v>
      </c>
      <c r="Q28" s="117" t="s">
        <v>451</v>
      </c>
    </row>
    <row r="29" spans="1:17" s="12" customFormat="1">
      <c r="B29" s="171"/>
      <c r="F29" s="117"/>
      <c r="G29" s="168"/>
      <c r="H29" s="169"/>
      <c r="I29" s="170"/>
      <c r="J29" s="169"/>
      <c r="K29" s="170"/>
      <c r="L29" s="117"/>
      <c r="M29" s="117" t="s">
        <v>446</v>
      </c>
      <c r="N29" s="117"/>
      <c r="O29" s="117" t="s">
        <v>413</v>
      </c>
      <c r="P29" s="28">
        <f>+(G24-I24*P28)/K24</f>
        <v>1100</v>
      </c>
      <c r="Q29" s="117" t="s">
        <v>451</v>
      </c>
    </row>
    <row r="31" spans="1:17" ht="18" customHeight="1">
      <c r="A31" s="13" t="s">
        <v>397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</row>
    <row r="32" spans="1:17">
      <c r="A32" s="16" t="s">
        <v>465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</row>
    <row r="33" spans="1:17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/>
    </row>
    <row r="36" spans="1:17">
      <c r="B36" s="4" t="s">
        <v>206</v>
      </c>
      <c r="G36" s="4" t="s">
        <v>403</v>
      </c>
    </row>
    <row r="37" spans="1:17">
      <c r="B37" s="4" t="s">
        <v>398</v>
      </c>
      <c r="C37" s="4" t="s">
        <v>400</v>
      </c>
      <c r="D37" s="4" t="s">
        <v>399</v>
      </c>
      <c r="E37" s="4" t="s">
        <v>401</v>
      </c>
      <c r="G37" s="4">
        <v>5000</v>
      </c>
      <c r="J37" s="4" t="s">
        <v>407</v>
      </c>
    </row>
    <row r="38" spans="1:17">
      <c r="B38" s="4">
        <v>1</v>
      </c>
      <c r="C38" s="4">
        <v>3340</v>
      </c>
      <c r="D38" s="4">
        <v>7716320</v>
      </c>
      <c r="E38" s="4">
        <v>981280</v>
      </c>
      <c r="G38" s="4" t="s">
        <v>402</v>
      </c>
      <c r="J38" s="4" t="s">
        <v>408</v>
      </c>
    </row>
    <row r="39" spans="1:17">
      <c r="B39" s="4">
        <v>2</v>
      </c>
      <c r="C39" s="162">
        <v>3020</v>
      </c>
      <c r="D39" s="162">
        <v>7079600</v>
      </c>
      <c r="E39" s="162">
        <v>903600</v>
      </c>
      <c r="F39" s="162"/>
      <c r="G39" s="161">
        <f>+C38/$G$37</f>
        <v>0.66800000000000004</v>
      </c>
    </row>
    <row r="40" spans="1:17">
      <c r="B40" s="4">
        <v>3</v>
      </c>
      <c r="C40" s="4">
        <v>2770</v>
      </c>
      <c r="D40" s="4">
        <v>6766200</v>
      </c>
      <c r="E40" s="4">
        <v>835900</v>
      </c>
      <c r="G40" s="163">
        <f t="shared" ref="G40:G44" si="3">+C39/$G$37</f>
        <v>0.60399999999999998</v>
      </c>
      <c r="H40" s="4" t="s">
        <v>406</v>
      </c>
      <c r="J40" s="4" t="s">
        <v>409</v>
      </c>
    </row>
    <row r="41" spans="1:17">
      <c r="B41" s="4">
        <v>4</v>
      </c>
      <c r="C41" s="4">
        <v>4640</v>
      </c>
      <c r="D41" s="4">
        <v>10306600</v>
      </c>
      <c r="E41" s="4">
        <v>1214700</v>
      </c>
      <c r="G41" s="161">
        <f t="shared" si="3"/>
        <v>0.55400000000000005</v>
      </c>
      <c r="H41" s="4" t="s">
        <v>404</v>
      </c>
      <c r="K41" s="4" t="s">
        <v>410</v>
      </c>
      <c r="L41" s="4" t="s">
        <v>157</v>
      </c>
    </row>
    <row r="42" spans="1:17">
      <c r="B42" s="4">
        <v>5</v>
      </c>
      <c r="C42" s="4">
        <v>4920</v>
      </c>
      <c r="D42" s="4">
        <v>10861680</v>
      </c>
      <c r="E42" s="4">
        <v>1245200</v>
      </c>
      <c r="G42" s="161">
        <f t="shared" si="3"/>
        <v>0.92800000000000005</v>
      </c>
      <c r="J42" s="58" t="s">
        <v>411</v>
      </c>
      <c r="K42" s="165">
        <f>+(D43-D39)/(C43-C39)</f>
        <v>1980</v>
      </c>
      <c r="L42" s="165">
        <f>+(E43-E39)/(C43-C39)</f>
        <v>180</v>
      </c>
    </row>
    <row r="43" spans="1:17">
      <c r="B43" s="4">
        <v>6</v>
      </c>
      <c r="C43" s="162">
        <v>5040</v>
      </c>
      <c r="D43" s="162">
        <v>11079200</v>
      </c>
      <c r="E43" s="162">
        <v>1267200</v>
      </c>
      <c r="F43" s="162"/>
      <c r="G43" s="161">
        <f t="shared" si="3"/>
        <v>0.98399999999999999</v>
      </c>
    </row>
    <row r="44" spans="1:17">
      <c r="D44" s="4" t="s">
        <v>414</v>
      </c>
      <c r="G44" s="163">
        <f t="shared" si="3"/>
        <v>1.008</v>
      </c>
      <c r="H44" s="4" t="s">
        <v>405</v>
      </c>
      <c r="J44" s="4" t="s">
        <v>412</v>
      </c>
    </row>
    <row r="45" spans="1:17">
      <c r="B45" s="4">
        <v>7</v>
      </c>
      <c r="C45" s="4">
        <v>5400</v>
      </c>
      <c r="D45" s="164">
        <f>+C45*K42+K45</f>
        <v>11792000</v>
      </c>
      <c r="E45" s="164">
        <f>+C45*L42+L45</f>
        <v>1332000</v>
      </c>
      <c r="J45" s="58" t="s">
        <v>413</v>
      </c>
      <c r="K45" s="165">
        <f>+D39-C39*K42</f>
        <v>1100000</v>
      </c>
      <c r="L45" s="165">
        <f>+E39-L42*C39</f>
        <v>360000</v>
      </c>
    </row>
    <row r="47" spans="1:17" ht="18" customHeight="1">
      <c r="A47" s="13" t="s">
        <v>415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</row>
    <row r="48" spans="1:17">
      <c r="A48" s="16" t="s">
        <v>416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/>
    </row>
    <row r="49" spans="1:17">
      <c r="A49" s="19" t="s">
        <v>417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</row>
    <row r="52" spans="1:17" ht="17.399999999999999">
      <c r="A52" s="117"/>
      <c r="B52" s="117" t="s">
        <v>206</v>
      </c>
      <c r="C52" s="117" t="s">
        <v>421</v>
      </c>
      <c r="D52" s="117" t="s">
        <v>423</v>
      </c>
      <c r="E52" s="117"/>
      <c r="F52" s="117" t="s">
        <v>425</v>
      </c>
      <c r="G52" s="117" t="s">
        <v>424</v>
      </c>
      <c r="H52" s="117"/>
      <c r="I52" s="117"/>
      <c r="J52" s="117"/>
      <c r="K52" s="117"/>
      <c r="L52" s="117"/>
      <c r="M52" s="117"/>
    </row>
    <row r="53" spans="1:17">
      <c r="A53" s="117"/>
      <c r="B53" s="117" t="s">
        <v>398</v>
      </c>
      <c r="C53" s="117" t="s">
        <v>418</v>
      </c>
      <c r="D53" s="117" t="s">
        <v>419</v>
      </c>
      <c r="E53" s="117"/>
      <c r="F53" s="117"/>
      <c r="G53" s="117"/>
      <c r="H53" s="117"/>
      <c r="I53" s="117"/>
      <c r="J53" s="117"/>
      <c r="K53" s="117"/>
      <c r="L53" s="117"/>
      <c r="M53" s="117"/>
    </row>
    <row r="54" spans="1:17">
      <c r="A54" s="117"/>
      <c r="B54" s="117">
        <v>1</v>
      </c>
      <c r="C54" s="117">
        <v>600</v>
      </c>
      <c r="D54" s="117">
        <v>52500</v>
      </c>
      <c r="E54" s="117"/>
      <c r="F54" s="117">
        <f>+C54*D54</f>
        <v>31500000</v>
      </c>
      <c r="G54" s="117">
        <f>+C54*C54</f>
        <v>360000</v>
      </c>
      <c r="H54" s="117"/>
      <c r="I54" s="117"/>
      <c r="J54" s="117"/>
      <c r="K54" s="117"/>
      <c r="L54" s="117"/>
      <c r="M54" s="117"/>
    </row>
    <row r="55" spans="1:17">
      <c r="A55" s="117"/>
      <c r="B55" s="117">
        <v>2</v>
      </c>
      <c r="C55" s="117">
        <v>400</v>
      </c>
      <c r="D55" s="117">
        <v>52500</v>
      </c>
      <c r="E55" s="117"/>
      <c r="F55" s="117">
        <f t="shared" ref="F55:F57" si="4">+C55*D55</f>
        <v>21000000</v>
      </c>
      <c r="G55" s="117">
        <f t="shared" ref="G55:G57" si="5">+C55*C55</f>
        <v>160000</v>
      </c>
      <c r="H55" s="117"/>
      <c r="I55" s="117"/>
      <c r="J55" s="117"/>
      <c r="K55" s="117"/>
      <c r="L55" s="117"/>
      <c r="M55" s="117"/>
    </row>
    <row r="56" spans="1:17">
      <c r="A56" s="117"/>
      <c r="B56" s="117">
        <v>3</v>
      </c>
      <c r="C56" s="117">
        <v>800</v>
      </c>
      <c r="D56" s="117">
        <v>82500</v>
      </c>
      <c r="E56" s="117"/>
      <c r="F56" s="117">
        <f t="shared" si="4"/>
        <v>66000000</v>
      </c>
      <c r="G56" s="117">
        <f t="shared" si="5"/>
        <v>640000</v>
      </c>
      <c r="H56" s="117"/>
      <c r="I56" s="117"/>
      <c r="J56" s="117"/>
      <c r="K56" s="117"/>
      <c r="L56" s="117"/>
      <c r="M56" s="117"/>
    </row>
    <row r="57" spans="1:17">
      <c r="A57" s="117"/>
      <c r="B57" s="117">
        <v>4</v>
      </c>
      <c r="C57" s="117">
        <v>200</v>
      </c>
      <c r="D57" s="117">
        <v>22500</v>
      </c>
      <c r="E57" s="117"/>
      <c r="F57" s="117">
        <f t="shared" si="4"/>
        <v>4500000</v>
      </c>
      <c r="G57" s="117">
        <f t="shared" si="5"/>
        <v>40000</v>
      </c>
      <c r="H57" s="117"/>
      <c r="I57" s="117"/>
      <c r="J57" s="117"/>
      <c r="K57" s="117"/>
      <c r="L57" s="117"/>
      <c r="M57" s="117"/>
    </row>
    <row r="58" spans="1:17">
      <c r="A58" s="117"/>
      <c r="B58" s="117" t="s">
        <v>363</v>
      </c>
      <c r="C58" s="117">
        <f>+SUM(C54:C57)</f>
        <v>2000</v>
      </c>
      <c r="D58" s="117">
        <f>+SUM(D54:D57)</f>
        <v>210000</v>
      </c>
      <c r="E58" s="117"/>
      <c r="F58" s="117">
        <f t="shared" ref="F58:G58" si="6">+SUM(F54:F57)</f>
        <v>123000000</v>
      </c>
      <c r="G58" s="117">
        <f t="shared" si="6"/>
        <v>1200000</v>
      </c>
      <c r="H58" s="117"/>
      <c r="I58" s="117"/>
      <c r="J58" s="117"/>
      <c r="K58" s="117"/>
      <c r="L58" s="117"/>
      <c r="M58" s="117"/>
    </row>
    <row r="59" spans="1:17" ht="17.399999999999999">
      <c r="A59" s="117"/>
      <c r="B59" s="117"/>
      <c r="C59" s="117" t="s">
        <v>426</v>
      </c>
      <c r="D59" s="117" t="s">
        <v>427</v>
      </c>
      <c r="E59" s="117"/>
      <c r="F59" s="117" t="s">
        <v>428</v>
      </c>
      <c r="G59" s="117" t="s">
        <v>429</v>
      </c>
      <c r="H59" s="117"/>
      <c r="I59" s="117"/>
      <c r="J59" s="117"/>
      <c r="K59" s="117"/>
      <c r="L59" s="117"/>
      <c r="M59" s="117"/>
    </row>
    <row r="60" spans="1:17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</row>
    <row r="61" spans="1:17">
      <c r="A61" s="117"/>
      <c r="B61" s="117" t="s">
        <v>430</v>
      </c>
      <c r="C61" s="166" t="s">
        <v>432</v>
      </c>
      <c r="D61" s="169" t="s">
        <v>436</v>
      </c>
      <c r="E61" s="167" t="s">
        <v>426</v>
      </c>
      <c r="F61" s="169" t="s">
        <v>433</v>
      </c>
      <c r="G61" s="170" t="s">
        <v>434</v>
      </c>
      <c r="H61" s="117"/>
      <c r="I61" s="117"/>
      <c r="J61" s="117"/>
      <c r="K61" s="117"/>
      <c r="L61" s="117"/>
      <c r="M61" s="117"/>
    </row>
    <row r="62" spans="1:17" ht="17.399999999999999">
      <c r="A62" s="117"/>
      <c r="B62" s="117" t="s">
        <v>431</v>
      </c>
      <c r="C62" s="166" t="s">
        <v>437</v>
      </c>
      <c r="D62" s="169" t="s">
        <v>436</v>
      </c>
      <c r="E62" s="167" t="s">
        <v>438</v>
      </c>
      <c r="F62" s="169" t="s">
        <v>433</v>
      </c>
      <c r="G62" s="167" t="s">
        <v>426</v>
      </c>
      <c r="H62" s="117"/>
      <c r="I62" s="117"/>
      <c r="J62" s="117"/>
      <c r="K62" s="117"/>
      <c r="L62" s="117"/>
      <c r="M62" s="117"/>
    </row>
    <row r="63" spans="1:17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</row>
    <row r="64" spans="1:17">
      <c r="A64" s="117"/>
      <c r="B64" s="117" t="s">
        <v>439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</row>
    <row r="65" spans="1:13">
      <c r="A65" s="117"/>
      <c r="B65" s="117"/>
      <c r="C65" s="166">
        <f>+D58</f>
        <v>210000</v>
      </c>
      <c r="D65" s="169" t="s">
        <v>436</v>
      </c>
      <c r="E65" s="167">
        <f>+C58</f>
        <v>2000</v>
      </c>
      <c r="F65" s="169" t="s">
        <v>433</v>
      </c>
      <c r="G65" s="170">
        <v>4</v>
      </c>
      <c r="H65" s="117"/>
      <c r="I65" s="117" t="s">
        <v>441</v>
      </c>
      <c r="J65" s="117">
        <f>+C65</f>
        <v>210000</v>
      </c>
      <c r="K65" s="117" t="s">
        <v>442</v>
      </c>
      <c r="L65" s="117">
        <f>+E65</f>
        <v>2000</v>
      </c>
      <c r="M65" s="117" t="s">
        <v>447</v>
      </c>
    </row>
    <row r="66" spans="1:13">
      <c r="A66" s="117"/>
      <c r="B66" s="117"/>
      <c r="C66" s="166">
        <f>+F58</f>
        <v>123000000</v>
      </c>
      <c r="D66" s="169" t="s">
        <v>436</v>
      </c>
      <c r="E66" s="167">
        <f>+G58</f>
        <v>1200000</v>
      </c>
      <c r="F66" s="169" t="s">
        <v>433</v>
      </c>
      <c r="G66" s="167">
        <f>+C58</f>
        <v>2000</v>
      </c>
      <c r="H66" s="117" t="s">
        <v>440</v>
      </c>
      <c r="I66" s="117" t="s">
        <v>443</v>
      </c>
      <c r="J66" s="117">
        <f>+C66/500</f>
        <v>246000</v>
      </c>
      <c r="K66" s="117" t="s">
        <v>444</v>
      </c>
      <c r="L66" s="117">
        <f>+E66/500</f>
        <v>2400</v>
      </c>
      <c r="M66" s="117" t="s">
        <v>448</v>
      </c>
    </row>
    <row r="67" spans="1:13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</row>
    <row r="68" spans="1:13">
      <c r="A68" s="117"/>
      <c r="B68" s="117"/>
      <c r="C68" s="117"/>
      <c r="D68" s="117"/>
      <c r="E68" s="117"/>
      <c r="F68" s="117"/>
      <c r="G68" s="117"/>
      <c r="H68" s="117"/>
      <c r="I68" s="117" t="s">
        <v>445</v>
      </c>
      <c r="J68" s="117">
        <f>+L66-L65</f>
        <v>400</v>
      </c>
      <c r="K68" s="117" t="s">
        <v>449</v>
      </c>
      <c r="L68" s="117">
        <f>+J66-J65</f>
        <v>36000</v>
      </c>
      <c r="M68" s="117"/>
    </row>
    <row r="69" spans="1:13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 t="s">
        <v>450</v>
      </c>
      <c r="L69" s="28">
        <f>+L68/J68</f>
        <v>90</v>
      </c>
      <c r="M69" s="117" t="s">
        <v>451</v>
      </c>
    </row>
    <row r="70" spans="1:13">
      <c r="A70" s="117"/>
      <c r="B70" s="117"/>
      <c r="C70" s="117"/>
      <c r="D70" s="117"/>
      <c r="E70" s="117"/>
      <c r="F70" s="117"/>
      <c r="G70" s="117"/>
      <c r="H70" s="117"/>
      <c r="I70" s="117" t="s">
        <v>446</v>
      </c>
      <c r="J70" s="117"/>
      <c r="K70" s="117" t="s">
        <v>413</v>
      </c>
      <c r="L70" s="28">
        <f>+(C65-E65*L69)/G65</f>
        <v>7500</v>
      </c>
      <c r="M70" s="117" t="s">
        <v>451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58"/>
  <sheetViews>
    <sheetView zoomScale="90" zoomScaleNormal="90" workbookViewId="0">
      <selection activeCell="G34" sqref="G34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466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504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 t="s">
        <v>505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 t="s">
        <v>506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 t="s">
        <v>507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0" spans="1:17" s="29" customFormat="1">
      <c r="B10" s="29" t="s">
        <v>468</v>
      </c>
    </row>
    <row r="11" spans="1:17" s="29" customFormat="1">
      <c r="C11" s="29" t="s">
        <v>494</v>
      </c>
      <c r="D11" s="29" t="s">
        <v>495</v>
      </c>
    </row>
    <row r="12" spans="1:17" s="29" customFormat="1">
      <c r="B12" s="29" t="s">
        <v>493</v>
      </c>
      <c r="C12" s="29">
        <v>500</v>
      </c>
      <c r="D12" s="29">
        <v>1000</v>
      </c>
      <c r="G12" s="29">
        <f>+C12*D12</f>
        <v>500000</v>
      </c>
    </row>
    <row r="13" spans="1:17" s="29" customFormat="1">
      <c r="B13" s="29" t="s">
        <v>496</v>
      </c>
      <c r="C13" s="29">
        <v>60</v>
      </c>
      <c r="D13" s="29">
        <v>1000</v>
      </c>
      <c r="F13" s="29">
        <f>+C13*D13</f>
        <v>60000</v>
      </c>
    </row>
    <row r="14" spans="1:17" s="29" customFormat="1">
      <c r="B14" s="29" t="s">
        <v>497</v>
      </c>
      <c r="C14" s="29">
        <v>140</v>
      </c>
      <c r="D14" s="29">
        <v>1000</v>
      </c>
      <c r="F14" s="29">
        <f t="shared" ref="F14:F16" si="0">+C14*D14</f>
        <v>140000</v>
      </c>
    </row>
    <row r="15" spans="1:17" s="29" customFormat="1">
      <c r="B15" s="29" t="s">
        <v>498</v>
      </c>
      <c r="C15" s="29">
        <v>66</v>
      </c>
      <c r="D15" s="29">
        <v>1000</v>
      </c>
      <c r="F15" s="29">
        <f t="shared" si="0"/>
        <v>66000</v>
      </c>
    </row>
    <row r="16" spans="1:17" s="29" customFormat="1">
      <c r="B16" s="29" t="s">
        <v>499</v>
      </c>
      <c r="C16" s="29">
        <v>34</v>
      </c>
      <c r="D16" s="29">
        <v>1000</v>
      </c>
      <c r="F16" s="174">
        <f t="shared" si="0"/>
        <v>34000</v>
      </c>
      <c r="G16" s="174">
        <f>SUM(F13:F16)</f>
        <v>300000</v>
      </c>
      <c r="H16" s="29" t="s">
        <v>473</v>
      </c>
    </row>
    <row r="17" spans="2:8" s="29" customFormat="1">
      <c r="E17" s="81" t="s">
        <v>502</v>
      </c>
      <c r="G17" s="29">
        <f>+G12-G16</f>
        <v>200000</v>
      </c>
      <c r="H17" s="175">
        <f>+G17/G12</f>
        <v>0.4</v>
      </c>
    </row>
    <row r="18" spans="2:8" s="29" customFormat="1">
      <c r="B18" s="29" t="s">
        <v>500</v>
      </c>
      <c r="F18" s="29">
        <v>101520</v>
      </c>
    </row>
    <row r="19" spans="2:8" s="29" customFormat="1">
      <c r="B19" s="29" t="s">
        <v>501</v>
      </c>
      <c r="F19" s="174">
        <v>48080</v>
      </c>
      <c r="G19" s="174">
        <f>+SUM(F18:F19)</f>
        <v>149600</v>
      </c>
    </row>
    <row r="20" spans="2:8" s="29" customFormat="1">
      <c r="E20" s="81" t="s">
        <v>503</v>
      </c>
      <c r="G20" s="29">
        <f>+G17-G19</f>
        <v>50400</v>
      </c>
    </row>
    <row r="21" spans="2:8" s="29" customFormat="1"/>
    <row r="22" spans="2:8" s="29" customFormat="1">
      <c r="B22" s="4" t="s">
        <v>477</v>
      </c>
      <c r="C22" s="4" t="s">
        <v>474</v>
      </c>
      <c r="D22" s="4"/>
      <c r="E22" s="28">
        <f>+G19/H17</f>
        <v>374000</v>
      </c>
      <c r="F22" s="4" t="s">
        <v>487</v>
      </c>
      <c r="G22" s="4" t="s">
        <v>489</v>
      </c>
    </row>
    <row r="23" spans="2:8" s="29" customFormat="1">
      <c r="B23" s="4"/>
      <c r="C23" s="4" t="s">
        <v>475</v>
      </c>
      <c r="D23" s="4"/>
      <c r="E23" s="28">
        <f>+E22/C12</f>
        <v>748</v>
      </c>
      <c r="F23" s="4" t="s">
        <v>488</v>
      </c>
    </row>
    <row r="24" spans="2:8" s="29" customFormat="1">
      <c r="B24" s="4"/>
      <c r="C24" s="4"/>
      <c r="D24" s="4"/>
      <c r="E24" s="4"/>
      <c r="F24" s="4"/>
    </row>
    <row r="25" spans="2:8" s="29" customFormat="1">
      <c r="B25" s="4" t="s">
        <v>479</v>
      </c>
      <c r="C25" s="4" t="s">
        <v>482</v>
      </c>
      <c r="D25" s="4"/>
      <c r="E25" s="4">
        <v>60400</v>
      </c>
      <c r="F25" s="4" t="s">
        <v>487</v>
      </c>
    </row>
    <row r="26" spans="2:8" s="29" customFormat="1">
      <c r="B26" s="4"/>
      <c r="C26" s="4" t="s">
        <v>480</v>
      </c>
      <c r="D26" s="4"/>
      <c r="E26" s="28">
        <f>+(E25+G19)/H17</f>
        <v>525000</v>
      </c>
      <c r="F26" s="4" t="s">
        <v>487</v>
      </c>
      <c r="G26" s="4" t="s">
        <v>490</v>
      </c>
    </row>
    <row r="27" spans="2:8" s="29" customFormat="1">
      <c r="B27" s="4"/>
      <c r="C27" s="4"/>
      <c r="D27" s="4"/>
      <c r="E27" s="4"/>
      <c r="F27" s="4"/>
    </row>
    <row r="28" spans="2:8" s="29" customFormat="1">
      <c r="B28" s="4" t="s">
        <v>483</v>
      </c>
      <c r="C28" s="4" t="s">
        <v>484</v>
      </c>
      <c r="D28" s="4"/>
      <c r="E28" s="161">
        <v>0.18</v>
      </c>
      <c r="F28" s="4"/>
    </row>
    <row r="29" spans="2:8" s="29" customFormat="1">
      <c r="B29" s="4"/>
      <c r="C29" s="4" t="s">
        <v>485</v>
      </c>
      <c r="D29" s="4"/>
      <c r="E29" s="28">
        <f>+G19/(H17-E28)</f>
        <v>679999.99999999988</v>
      </c>
      <c r="F29" s="4" t="s">
        <v>487</v>
      </c>
      <c r="G29" s="4" t="s">
        <v>491</v>
      </c>
    </row>
    <row r="30" spans="2:8" s="29" customFormat="1">
      <c r="B30" s="4"/>
      <c r="C30" s="4" t="s">
        <v>486</v>
      </c>
      <c r="D30" s="4"/>
      <c r="E30" s="28">
        <f>+E29/C12</f>
        <v>1359.9999999999998</v>
      </c>
      <c r="F30" s="4" t="s">
        <v>488</v>
      </c>
      <c r="G30" s="4" t="s">
        <v>492</v>
      </c>
    </row>
    <row r="31" spans="2:8" s="29" customFormat="1">
      <c r="B31" s="4"/>
      <c r="C31" s="4"/>
      <c r="D31" s="4"/>
      <c r="E31" s="4"/>
      <c r="F31" s="4"/>
    </row>
    <row r="32" spans="2:8" s="29" customFormat="1">
      <c r="B32" s="4" t="s">
        <v>476</v>
      </c>
      <c r="C32" s="4" t="s">
        <v>478</v>
      </c>
      <c r="D32" s="4"/>
      <c r="E32" s="176">
        <f>1-E22/G12</f>
        <v>0.252</v>
      </c>
      <c r="F32" s="4"/>
      <c r="G32" s="29" t="s">
        <v>508</v>
      </c>
    </row>
    <row r="35" spans="1:17" ht="18" customHeight="1">
      <c r="A35" s="13" t="s">
        <v>467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</row>
    <row r="36" spans="1:17">
      <c r="A36" s="16" t="s">
        <v>509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</row>
    <row r="37" spans="1:17">
      <c r="A37" s="16" t="s">
        <v>510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</row>
    <row r="38" spans="1:17">
      <c r="A38" s="19" t="s">
        <v>511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</row>
    <row r="40" spans="1:17">
      <c r="B40" s="4" t="s">
        <v>468</v>
      </c>
    </row>
    <row r="41" spans="1:17">
      <c r="B41" s="4" t="s">
        <v>469</v>
      </c>
      <c r="C41" s="4">
        <v>6000</v>
      </c>
    </row>
    <row r="42" spans="1:17">
      <c r="B42" s="4" t="s">
        <v>470</v>
      </c>
      <c r="C42" s="4">
        <v>10000</v>
      </c>
      <c r="E42" s="4" t="s">
        <v>473</v>
      </c>
    </row>
    <row r="43" spans="1:17">
      <c r="B43" s="4" t="s">
        <v>471</v>
      </c>
      <c r="C43" s="4">
        <v>6500</v>
      </c>
      <c r="E43" s="173">
        <f>+(C42-C43)/C42</f>
        <v>0.35</v>
      </c>
    </row>
    <row r="44" spans="1:17">
      <c r="B44" s="4" t="s">
        <v>472</v>
      </c>
      <c r="C44" s="4">
        <v>9240000</v>
      </c>
    </row>
    <row r="47" spans="1:17">
      <c r="B47" s="4" t="s">
        <v>477</v>
      </c>
      <c r="C47" s="4" t="s">
        <v>474</v>
      </c>
      <c r="E47" s="28">
        <f>+C44/E43</f>
        <v>26400000</v>
      </c>
      <c r="F47" s="4" t="s">
        <v>487</v>
      </c>
      <c r="G47" s="4" t="s">
        <v>489</v>
      </c>
    </row>
    <row r="48" spans="1:17">
      <c r="C48" s="4" t="s">
        <v>475</v>
      </c>
      <c r="E48" s="28">
        <f>+E47/C42</f>
        <v>2640</v>
      </c>
      <c r="F48" s="4" t="s">
        <v>488</v>
      </c>
    </row>
    <row r="50" spans="2:7">
      <c r="B50" s="4" t="s">
        <v>476</v>
      </c>
      <c r="C50" s="4" t="s">
        <v>478</v>
      </c>
      <c r="E50" s="177">
        <f>1-E48/C41</f>
        <v>0.56000000000000005</v>
      </c>
    </row>
    <row r="52" spans="2:7">
      <c r="B52" s="4" t="s">
        <v>479</v>
      </c>
      <c r="C52" s="4" t="s">
        <v>482</v>
      </c>
      <c r="E52" s="4">
        <v>2800000</v>
      </c>
      <c r="F52" s="4" t="s">
        <v>487</v>
      </c>
    </row>
    <row r="53" spans="2:7">
      <c r="C53" s="4" t="s">
        <v>480</v>
      </c>
      <c r="E53" s="28">
        <f>+(E52+C44)/E43</f>
        <v>34400000</v>
      </c>
      <c r="F53" s="4" t="s">
        <v>487</v>
      </c>
      <c r="G53" s="4" t="s">
        <v>490</v>
      </c>
    </row>
    <row r="54" spans="2:7">
      <c r="C54" s="4" t="s">
        <v>481</v>
      </c>
      <c r="E54" s="28">
        <f>+E53/C42</f>
        <v>3440</v>
      </c>
      <c r="F54" s="4" t="s">
        <v>488</v>
      </c>
    </row>
    <row r="56" spans="2:7">
      <c r="B56" s="4" t="s">
        <v>483</v>
      </c>
      <c r="C56" s="4" t="s">
        <v>484</v>
      </c>
      <c r="E56" s="161">
        <v>0.2</v>
      </c>
    </row>
    <row r="57" spans="2:7">
      <c r="C57" s="4" t="s">
        <v>485</v>
      </c>
      <c r="E57" s="28">
        <f>+C44/(E43-E56)</f>
        <v>61600000.000000015</v>
      </c>
      <c r="F57" s="4" t="s">
        <v>487</v>
      </c>
      <c r="G57" s="4" t="s">
        <v>491</v>
      </c>
    </row>
    <row r="58" spans="2:7">
      <c r="C58" s="4" t="s">
        <v>486</v>
      </c>
      <c r="E58" s="28">
        <f>+E57/C42</f>
        <v>6160.0000000000018</v>
      </c>
      <c r="F58" s="4" t="s">
        <v>488</v>
      </c>
      <c r="G58" s="4" t="s">
        <v>492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3"/>
  <sheetViews>
    <sheetView zoomScale="90" zoomScaleNormal="90" workbookViewId="0">
      <selection activeCell="H25" sqref="H25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512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545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/>
      <c r="B6" s="17" t="s">
        <v>555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/>
      <c r="B7" s="17" t="s">
        <v>556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/>
      <c r="B8" s="20" t="s">
        <v>557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0" spans="1:17">
      <c r="B10" s="118" t="s">
        <v>544</v>
      </c>
      <c r="C10" s="118"/>
      <c r="D10" s="118"/>
      <c r="E10" s="118"/>
      <c r="F10" s="118"/>
      <c r="G10" s="118"/>
      <c r="H10" s="118"/>
    </row>
    <row r="11" spans="1:17">
      <c r="B11" s="118"/>
      <c r="C11" s="118" t="s">
        <v>176</v>
      </c>
      <c r="D11" s="118" t="s">
        <v>495</v>
      </c>
      <c r="E11" s="118"/>
      <c r="F11" s="118"/>
      <c r="G11" s="118"/>
      <c r="H11" s="118"/>
    </row>
    <row r="12" spans="1:17">
      <c r="B12" s="118" t="s">
        <v>493</v>
      </c>
      <c r="C12" s="118">
        <v>500</v>
      </c>
      <c r="D12" s="118">
        <v>1000</v>
      </c>
      <c r="E12" s="118"/>
      <c r="F12" s="118"/>
      <c r="G12" s="118">
        <f>+C12*D12</f>
        <v>500000</v>
      </c>
      <c r="H12" s="118"/>
    </row>
    <row r="13" spans="1:17">
      <c r="B13" s="118" t="s">
        <v>167</v>
      </c>
      <c r="C13" s="118">
        <v>60</v>
      </c>
      <c r="D13" s="118">
        <v>1000</v>
      </c>
      <c r="E13" s="118"/>
      <c r="F13" s="118">
        <f>+C13*D13</f>
        <v>60000</v>
      </c>
      <c r="G13" s="118"/>
      <c r="H13" s="118"/>
    </row>
    <row r="14" spans="1:17">
      <c r="B14" s="118" t="s">
        <v>497</v>
      </c>
      <c r="C14" s="118">
        <v>140</v>
      </c>
      <c r="D14" s="118">
        <v>1000</v>
      </c>
      <c r="E14" s="118"/>
      <c r="F14" s="118">
        <f t="shared" ref="F14:F16" si="0">+C14*D14</f>
        <v>140000</v>
      </c>
      <c r="G14" s="118"/>
      <c r="H14" s="118"/>
    </row>
    <row r="15" spans="1:17">
      <c r="B15" s="118" t="s">
        <v>320</v>
      </c>
      <c r="C15" s="118">
        <v>66</v>
      </c>
      <c r="D15" s="118">
        <v>1000</v>
      </c>
      <c r="E15" s="118"/>
      <c r="F15" s="118">
        <f t="shared" si="0"/>
        <v>66000</v>
      </c>
      <c r="G15" s="118"/>
      <c r="H15" s="118"/>
    </row>
    <row r="16" spans="1:17">
      <c r="B16" s="118" t="s">
        <v>287</v>
      </c>
      <c r="C16" s="118">
        <v>34</v>
      </c>
      <c r="D16" s="118">
        <v>1000</v>
      </c>
      <c r="E16" s="118"/>
      <c r="F16" s="180">
        <f t="shared" si="0"/>
        <v>34000</v>
      </c>
      <c r="G16" s="180">
        <f>SUM(F13:F16)</f>
        <v>300000</v>
      </c>
      <c r="H16" s="118" t="s">
        <v>473</v>
      </c>
    </row>
    <row r="17" spans="2:8">
      <c r="B17" s="118"/>
      <c r="C17" s="118"/>
      <c r="D17" s="118"/>
      <c r="E17" s="146" t="s">
        <v>502</v>
      </c>
      <c r="F17" s="118"/>
      <c r="G17" s="118">
        <f>+G12-G16</f>
        <v>200000</v>
      </c>
      <c r="H17" s="181">
        <f>+G17/G12</f>
        <v>0.4</v>
      </c>
    </row>
    <row r="18" spans="2:8">
      <c r="B18" s="118" t="s">
        <v>321</v>
      </c>
      <c r="C18" s="118"/>
      <c r="D18" s="118"/>
      <c r="E18" s="118"/>
      <c r="F18" s="118">
        <v>101520</v>
      </c>
      <c r="G18" s="118"/>
      <c r="H18" s="118"/>
    </row>
    <row r="19" spans="2:8">
      <c r="B19" s="118" t="s">
        <v>327</v>
      </c>
      <c r="C19" s="118"/>
      <c r="D19" s="118"/>
      <c r="E19" s="118"/>
      <c r="F19" s="180">
        <v>48080</v>
      </c>
      <c r="G19" s="180">
        <f>+SUM(F18:F19)</f>
        <v>149600</v>
      </c>
      <c r="H19" s="118"/>
    </row>
    <row r="20" spans="2:8">
      <c r="B20" s="118"/>
      <c r="C20" s="118"/>
      <c r="D20" s="118"/>
      <c r="E20" s="146" t="s">
        <v>367</v>
      </c>
      <c r="F20" s="118"/>
      <c r="G20" s="118">
        <f>+G17-G19</f>
        <v>50400</v>
      </c>
      <c r="H20" s="118"/>
    </row>
    <row r="22" spans="2:8">
      <c r="B22" s="4" t="s">
        <v>548</v>
      </c>
    </row>
    <row r="23" spans="2:8">
      <c r="B23" s="4" t="s">
        <v>550</v>
      </c>
      <c r="E23" s="4">
        <f>+G19</f>
        <v>149600</v>
      </c>
    </row>
    <row r="24" spans="2:8">
      <c r="C24" s="58" t="s">
        <v>546</v>
      </c>
      <c r="D24" s="4">
        <v>1350000</v>
      </c>
    </row>
    <row r="25" spans="2:8">
      <c r="C25" s="58" t="s">
        <v>547</v>
      </c>
      <c r="D25" s="161">
        <v>0.04</v>
      </c>
    </row>
    <row r="26" spans="2:8">
      <c r="C26" s="58" t="s">
        <v>530</v>
      </c>
      <c r="D26" s="161">
        <v>0.4</v>
      </c>
    </row>
    <row r="27" spans="2:8">
      <c r="C27" s="58" t="s">
        <v>549</v>
      </c>
      <c r="D27" s="161"/>
      <c r="E27" s="28">
        <f>+D24*D25/(1-D26)</f>
        <v>90000</v>
      </c>
      <c r="F27" s="4" t="s">
        <v>553</v>
      </c>
    </row>
    <row r="28" spans="2:8">
      <c r="C28" s="58"/>
    </row>
    <row r="29" spans="2:8">
      <c r="C29" s="58" t="s">
        <v>532</v>
      </c>
      <c r="E29" s="4">
        <v>12000</v>
      </c>
      <c r="F29" s="4" t="s">
        <v>552</v>
      </c>
    </row>
    <row r="30" spans="2:8">
      <c r="C30" s="58" t="s">
        <v>533</v>
      </c>
      <c r="E30" s="4">
        <v>18000</v>
      </c>
      <c r="F30" s="4" t="s">
        <v>553</v>
      </c>
    </row>
    <row r="31" spans="2:8" ht="16.8" thickBot="1">
      <c r="B31" s="4" t="s">
        <v>551</v>
      </c>
      <c r="E31" s="57">
        <f>+E23+E27-E29+E30</f>
        <v>245600</v>
      </c>
    </row>
    <row r="32" spans="2:8" ht="16.8" thickTop="1">
      <c r="E32" s="27"/>
    </row>
    <row r="33" spans="1:17">
      <c r="B33" s="4" t="s">
        <v>554</v>
      </c>
      <c r="E33" s="182">
        <f>+E31/H17/C12</f>
        <v>1228</v>
      </c>
      <c r="F33" s="4" t="s">
        <v>520</v>
      </c>
    </row>
    <row r="34" spans="1:17">
      <c r="E34" s="27"/>
    </row>
    <row r="36" spans="1:17" ht="18" customHeight="1">
      <c r="A36" s="13" t="s">
        <v>513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</row>
    <row r="37" spans="1:17">
      <c r="A37" s="16"/>
      <c r="B37" s="17" t="s">
        <v>558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</row>
    <row r="38" spans="1:17">
      <c r="A38" s="16"/>
      <c r="B38" s="17" t="s">
        <v>559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</row>
    <row r="39" spans="1:17">
      <c r="A39" s="19"/>
      <c r="B39" s="20" t="s">
        <v>560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/>
    </row>
    <row r="41" spans="1:17">
      <c r="B41" s="4" t="s">
        <v>514</v>
      </c>
    </row>
    <row r="43" spans="1:17">
      <c r="B43" s="29"/>
      <c r="C43" s="29" t="s">
        <v>176</v>
      </c>
    </row>
    <row r="44" spans="1:17">
      <c r="B44" s="29" t="s">
        <v>306</v>
      </c>
      <c r="C44" s="29">
        <v>10000</v>
      </c>
    </row>
    <row r="45" spans="1:17">
      <c r="B45" s="29" t="s">
        <v>516</v>
      </c>
      <c r="C45" s="29"/>
    </row>
    <row r="46" spans="1:17">
      <c r="B46" s="29" t="s">
        <v>260</v>
      </c>
      <c r="C46" s="29">
        <v>1500</v>
      </c>
    </row>
    <row r="47" spans="1:17">
      <c r="B47" s="29" t="s">
        <v>168</v>
      </c>
      <c r="C47" s="29">
        <v>1000</v>
      </c>
    </row>
    <row r="48" spans="1:17">
      <c r="B48" s="29" t="s">
        <v>287</v>
      </c>
      <c r="C48" s="29">
        <v>500</v>
      </c>
      <c r="D48" s="4" t="s">
        <v>518</v>
      </c>
    </row>
    <row r="49" spans="2:9" ht="16.8" thickBot="1">
      <c r="B49" s="29" t="s">
        <v>517</v>
      </c>
      <c r="C49" s="178">
        <f>+C44-SUM(C46:C48)</f>
        <v>7000</v>
      </c>
      <c r="D49" s="173">
        <f>+C49/C44</f>
        <v>0.7</v>
      </c>
    </row>
    <row r="50" spans="2:9" ht="16.8" thickTop="1">
      <c r="B50" s="29"/>
      <c r="C50" s="29"/>
    </row>
    <row r="51" spans="2:9">
      <c r="B51" s="29" t="s">
        <v>169</v>
      </c>
      <c r="C51" s="29"/>
      <c r="D51" s="29">
        <v>3630000</v>
      </c>
    </row>
    <row r="52" spans="2:9">
      <c r="B52" s="29" t="s">
        <v>288</v>
      </c>
      <c r="C52" s="29"/>
      <c r="D52" s="29">
        <v>6540000</v>
      </c>
    </row>
    <row r="53" spans="2:9">
      <c r="B53" s="4" t="s">
        <v>515</v>
      </c>
      <c r="D53" s="4">
        <v>5230000</v>
      </c>
    </row>
    <row r="55" spans="2:9">
      <c r="B55" s="4" t="s">
        <v>519</v>
      </c>
    </row>
    <row r="56" spans="2:9">
      <c r="D56" s="28">
        <f>+SUM(D51:D53)/D49/C44</f>
        <v>2200</v>
      </c>
      <c r="E56" s="4" t="s">
        <v>520</v>
      </c>
    </row>
    <row r="57" spans="2:9">
      <c r="C57" s="4" t="s">
        <v>521</v>
      </c>
      <c r="D57" s="4">
        <v>4000</v>
      </c>
    </row>
    <row r="58" spans="2:9">
      <c r="C58" s="4" t="s">
        <v>522</v>
      </c>
      <c r="D58" s="177">
        <f>+(D57-D56)/D57</f>
        <v>0.45</v>
      </c>
    </row>
    <row r="60" spans="2:9">
      <c r="B60" s="4" t="s">
        <v>523</v>
      </c>
    </row>
    <row r="61" spans="2:9">
      <c r="C61" s="4" t="s">
        <v>524</v>
      </c>
      <c r="D61" s="4">
        <v>7700000</v>
      </c>
      <c r="E61" s="4" t="s">
        <v>526</v>
      </c>
    </row>
    <row r="62" spans="2:9">
      <c r="C62" s="4" t="s">
        <v>525</v>
      </c>
      <c r="D62" s="4">
        <f>+SUM(D61,D51:D53)/D49</f>
        <v>33000000.000000004</v>
      </c>
      <c r="E62" s="4" t="s">
        <v>526</v>
      </c>
    </row>
    <row r="64" spans="2:9">
      <c r="B64" s="4" t="s">
        <v>527</v>
      </c>
      <c r="F64" s="4" t="s">
        <v>535</v>
      </c>
      <c r="G64" s="4" t="s">
        <v>536</v>
      </c>
    </row>
    <row r="65" spans="3:9">
      <c r="C65" s="58" t="s">
        <v>528</v>
      </c>
      <c r="D65" s="4">
        <v>45000000</v>
      </c>
    </row>
    <row r="66" spans="3:9">
      <c r="C66" s="58" t="s">
        <v>529</v>
      </c>
      <c r="D66" s="161">
        <v>0.15</v>
      </c>
    </row>
    <row r="67" spans="3:9">
      <c r="C67" s="58" t="s">
        <v>530</v>
      </c>
      <c r="D67" s="161">
        <v>0.4</v>
      </c>
    </row>
    <row r="68" spans="3:9">
      <c r="C68" s="58" t="s">
        <v>531</v>
      </c>
      <c r="D68" s="28">
        <f>+D65*D66/(1-D67)</f>
        <v>11250000</v>
      </c>
      <c r="E68" s="4" t="s">
        <v>526</v>
      </c>
      <c r="G68" s="4" t="s">
        <v>537</v>
      </c>
    </row>
    <row r="69" spans="3:9">
      <c r="F69" s="58" t="s">
        <v>540</v>
      </c>
      <c r="G69" s="4">
        <f>+SUM(D51:D53,D71,-D70)</f>
        <v>15350000</v>
      </c>
    </row>
    <row r="70" spans="3:9">
      <c r="C70" s="4" t="s">
        <v>532</v>
      </c>
      <c r="D70" s="165">
        <v>160000</v>
      </c>
      <c r="F70" s="4" t="s">
        <v>538</v>
      </c>
      <c r="G70" s="165" t="s">
        <v>539</v>
      </c>
      <c r="I70" s="52" t="s">
        <v>541</v>
      </c>
    </row>
    <row r="71" spans="3:9">
      <c r="C71" s="4" t="s">
        <v>533</v>
      </c>
      <c r="D71" s="165">
        <v>110000</v>
      </c>
      <c r="G71" s="179" t="s">
        <v>542</v>
      </c>
      <c r="H71" s="161"/>
      <c r="I71" s="4" t="s">
        <v>543</v>
      </c>
    </row>
    <row r="73" spans="3:9">
      <c r="C73" s="4" t="s">
        <v>534</v>
      </c>
      <c r="D73" s="28">
        <f>+SUM(D68,D51:D53,D71,-D70)/D49/C44</f>
        <v>3800</v>
      </c>
      <c r="E73" s="4" t="s">
        <v>520</v>
      </c>
      <c r="G73" s="28">
        <f>21450000/(0.7-0.05)/C44</f>
        <v>3300.0000000000005</v>
      </c>
      <c r="H73" s="4" t="s">
        <v>520</v>
      </c>
    </row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39"/>
  <sheetViews>
    <sheetView zoomScale="90" zoomScaleNormal="90" workbookViewId="0">
      <selection activeCell="F22" sqref="F22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584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602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/>
      <c r="B6" s="17" t="s">
        <v>603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/>
      <c r="B7" s="17" t="s">
        <v>604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0" spans="1:17">
      <c r="B10" s="117" t="s">
        <v>585</v>
      </c>
      <c r="C10" s="117" t="s">
        <v>593</v>
      </c>
      <c r="D10" s="117"/>
      <c r="E10" s="117"/>
      <c r="G10" s="4" t="s">
        <v>599</v>
      </c>
    </row>
    <row r="11" spans="1:17">
      <c r="B11" s="117"/>
      <c r="C11" s="117" t="s">
        <v>594</v>
      </c>
      <c r="D11" s="117" t="s">
        <v>595</v>
      </c>
      <c r="E11" s="117" t="s">
        <v>596</v>
      </c>
      <c r="H11" s="4" t="s">
        <v>594</v>
      </c>
      <c r="I11" s="4" t="s">
        <v>595</v>
      </c>
      <c r="J11" s="4" t="s">
        <v>596</v>
      </c>
    </row>
    <row r="12" spans="1:17">
      <c r="B12" s="117" t="s">
        <v>586</v>
      </c>
      <c r="C12" s="117">
        <v>500</v>
      </c>
      <c r="D12" s="117">
        <v>1000</v>
      </c>
      <c r="E12" s="117">
        <f>+C12*D12</f>
        <v>500000</v>
      </c>
      <c r="G12" s="4" t="s">
        <v>586</v>
      </c>
      <c r="H12" s="191">
        <f>+C12*0.92</f>
        <v>460</v>
      </c>
      <c r="I12" s="191">
        <f>+D12*1.25</f>
        <v>1250</v>
      </c>
      <c r="J12" s="4">
        <f>+H12*I12</f>
        <v>575000</v>
      </c>
    </row>
    <row r="13" spans="1:17">
      <c r="B13" s="117" t="s">
        <v>587</v>
      </c>
      <c r="C13" s="117">
        <v>266</v>
      </c>
      <c r="D13" s="117">
        <v>1000</v>
      </c>
      <c r="E13" s="117">
        <f t="shared" ref="E13:E15" si="0">+C13*D13</f>
        <v>266000</v>
      </c>
      <c r="G13" s="4" t="s">
        <v>587</v>
      </c>
      <c r="H13" s="4">
        <v>266</v>
      </c>
      <c r="I13" s="191">
        <f t="shared" ref="I13:I15" si="1">+D13*1.25</f>
        <v>1250</v>
      </c>
      <c r="J13" s="4">
        <f t="shared" ref="J13:J15" si="2">+H13*I13</f>
        <v>332500</v>
      </c>
    </row>
    <row r="14" spans="1:17">
      <c r="B14" s="117" t="s">
        <v>588</v>
      </c>
      <c r="C14" s="117">
        <v>34</v>
      </c>
      <c r="D14" s="117">
        <v>1000</v>
      </c>
      <c r="E14" s="148">
        <f t="shared" si="0"/>
        <v>34000</v>
      </c>
      <c r="G14" s="4" t="s">
        <v>588</v>
      </c>
      <c r="H14" s="4">
        <v>34</v>
      </c>
      <c r="I14" s="191">
        <f t="shared" si="1"/>
        <v>1250</v>
      </c>
      <c r="J14" s="51">
        <f t="shared" si="2"/>
        <v>42500</v>
      </c>
    </row>
    <row r="15" spans="1:17" ht="16.8" thickBot="1">
      <c r="B15" s="117" t="s">
        <v>589</v>
      </c>
      <c r="C15" s="190">
        <f>+C12-SUM(C13:C14)</f>
        <v>200</v>
      </c>
      <c r="D15" s="117">
        <v>1000</v>
      </c>
      <c r="E15" s="117">
        <f t="shared" si="0"/>
        <v>200000</v>
      </c>
      <c r="G15" s="4" t="s">
        <v>589</v>
      </c>
      <c r="H15" s="57">
        <f>+H12-SUM(H13:H14)</f>
        <v>160</v>
      </c>
      <c r="I15" s="191">
        <f t="shared" si="1"/>
        <v>1250</v>
      </c>
      <c r="J15" s="4">
        <f t="shared" si="2"/>
        <v>200000</v>
      </c>
    </row>
    <row r="16" spans="1:17" ht="16.8" thickTop="1">
      <c r="B16" s="117" t="s">
        <v>590</v>
      </c>
      <c r="C16" s="117"/>
      <c r="D16" s="117"/>
      <c r="E16" s="117">
        <v>101520</v>
      </c>
      <c r="G16" s="4" t="s">
        <v>590</v>
      </c>
      <c r="J16" s="4">
        <v>101520</v>
      </c>
    </row>
    <row r="17" spans="2:10">
      <c r="B17" s="117" t="s">
        <v>591</v>
      </c>
      <c r="C17" s="117"/>
      <c r="D17" s="117"/>
      <c r="E17" s="117">
        <v>48080</v>
      </c>
      <c r="G17" s="4" t="s">
        <v>591</v>
      </c>
      <c r="J17" s="4">
        <v>48080</v>
      </c>
    </row>
    <row r="18" spans="2:10" ht="16.8" thickBot="1">
      <c r="B18" s="117" t="s">
        <v>592</v>
      </c>
      <c r="C18" s="117"/>
      <c r="D18" s="117"/>
      <c r="E18" s="190">
        <f>+E15-SUM(E16:E17)</f>
        <v>50400</v>
      </c>
      <c r="G18" s="4" t="s">
        <v>592</v>
      </c>
      <c r="J18" s="41">
        <f>+J15-SUM(J16:J17)</f>
        <v>50400</v>
      </c>
    </row>
    <row r="19" spans="2:10" ht="16.8" thickTop="1"/>
    <row r="20" spans="2:10">
      <c r="B20" s="4" t="s">
        <v>597</v>
      </c>
      <c r="G20" s="4" t="s">
        <v>600</v>
      </c>
    </row>
    <row r="21" spans="2:10">
      <c r="C21" s="4" t="s">
        <v>594</v>
      </c>
      <c r="D21" s="4" t="s">
        <v>595</v>
      </c>
      <c r="E21" s="4" t="s">
        <v>596</v>
      </c>
      <c r="H21" s="4" t="s">
        <v>594</v>
      </c>
      <c r="I21" s="4" t="s">
        <v>595</v>
      </c>
      <c r="J21" s="4" t="s">
        <v>596</v>
      </c>
    </row>
    <row r="22" spans="2:10">
      <c r="B22" s="4" t="s">
        <v>586</v>
      </c>
      <c r="C22" s="191">
        <f>+C12*1.05</f>
        <v>525</v>
      </c>
      <c r="D22" s="4">
        <v>1000</v>
      </c>
      <c r="E22" s="4">
        <f>+C22*D22</f>
        <v>525000</v>
      </c>
      <c r="G22" s="4" t="s">
        <v>586</v>
      </c>
      <c r="H22" s="4">
        <v>500</v>
      </c>
      <c r="I22" s="4">
        <v>1000</v>
      </c>
      <c r="J22" s="4">
        <f>+H22*I22</f>
        <v>500000</v>
      </c>
    </row>
    <row r="23" spans="2:10">
      <c r="B23" s="4" t="s">
        <v>587</v>
      </c>
      <c r="C23" s="4">
        <v>266</v>
      </c>
      <c r="D23" s="4">
        <v>1000</v>
      </c>
      <c r="E23" s="4">
        <f t="shared" ref="E23:E25" si="3">+C23*D23</f>
        <v>266000</v>
      </c>
      <c r="G23" s="4" t="s">
        <v>587</v>
      </c>
      <c r="H23" s="4">
        <v>266</v>
      </c>
      <c r="I23" s="4">
        <v>1000</v>
      </c>
      <c r="J23" s="4">
        <f t="shared" ref="J23:J25" si="4">+H23*I23</f>
        <v>266000</v>
      </c>
    </row>
    <row r="24" spans="2:10">
      <c r="B24" s="4" t="s">
        <v>588</v>
      </c>
      <c r="C24" s="4">
        <v>34</v>
      </c>
      <c r="D24" s="4">
        <v>1000</v>
      </c>
      <c r="E24" s="51">
        <f t="shared" si="3"/>
        <v>34000</v>
      </c>
      <c r="G24" s="4" t="s">
        <v>588</v>
      </c>
      <c r="H24" s="4">
        <f>+C24*1.1</f>
        <v>37.400000000000006</v>
      </c>
      <c r="I24" s="4">
        <v>1000</v>
      </c>
      <c r="J24" s="51">
        <f t="shared" si="4"/>
        <v>37400.000000000007</v>
      </c>
    </row>
    <row r="25" spans="2:10" ht="16.8" thickBot="1">
      <c r="B25" s="4" t="s">
        <v>589</v>
      </c>
      <c r="C25" s="57">
        <f>+C22-SUM(C23:C24)</f>
        <v>225</v>
      </c>
      <c r="D25" s="4">
        <v>1000</v>
      </c>
      <c r="E25" s="4">
        <f t="shared" si="3"/>
        <v>225000</v>
      </c>
      <c r="G25" s="4" t="s">
        <v>589</v>
      </c>
      <c r="H25" s="57">
        <f>+H22-SUM(H23:H24)</f>
        <v>196.60000000000002</v>
      </c>
      <c r="I25" s="4">
        <v>1000</v>
      </c>
      <c r="J25" s="4">
        <f t="shared" si="4"/>
        <v>196600.00000000003</v>
      </c>
    </row>
    <row r="26" spans="2:10" ht="16.8" thickTop="1">
      <c r="B26" s="4" t="s">
        <v>590</v>
      </c>
      <c r="E26" s="4">
        <v>101520</v>
      </c>
      <c r="G26" s="4" t="s">
        <v>590</v>
      </c>
      <c r="J26" s="4">
        <v>101520</v>
      </c>
    </row>
    <row r="27" spans="2:10">
      <c r="B27" s="4" t="s">
        <v>591</v>
      </c>
      <c r="E27" s="4">
        <v>48080</v>
      </c>
      <c r="G27" s="4" t="s">
        <v>591</v>
      </c>
      <c r="J27" s="4">
        <v>48080</v>
      </c>
    </row>
    <row r="28" spans="2:10" ht="16.8" thickBot="1">
      <c r="B28" s="4" t="s">
        <v>592</v>
      </c>
      <c r="E28" s="41">
        <f>+E25-SUM(E26:E27)</f>
        <v>75400</v>
      </c>
      <c r="G28" s="4" t="s">
        <v>592</v>
      </c>
      <c r="J28" s="41">
        <f>+J25-SUM(J26:J27)</f>
        <v>47000.000000000029</v>
      </c>
    </row>
    <row r="29" spans="2:10" ht="16.8" thickTop="1"/>
    <row r="30" spans="2:10">
      <c r="B30" s="4" t="s">
        <v>598</v>
      </c>
      <c r="G30" s="4" t="s">
        <v>601</v>
      </c>
    </row>
    <row r="31" spans="2:10">
      <c r="C31" s="4" t="s">
        <v>594</v>
      </c>
      <c r="D31" s="4" t="s">
        <v>595</v>
      </c>
      <c r="E31" s="4" t="s">
        <v>596</v>
      </c>
      <c r="H31" s="4" t="s">
        <v>594</v>
      </c>
      <c r="I31" s="4" t="s">
        <v>595</v>
      </c>
      <c r="J31" s="4" t="s">
        <v>596</v>
      </c>
    </row>
    <row r="32" spans="2:10">
      <c r="B32" s="4" t="s">
        <v>586</v>
      </c>
      <c r="C32" s="12">
        <v>500</v>
      </c>
      <c r="D32" s="191">
        <f>+D12*1.1</f>
        <v>1100</v>
      </c>
      <c r="E32" s="4">
        <f>+C32*D32</f>
        <v>550000</v>
      </c>
      <c r="G32" s="4" t="s">
        <v>586</v>
      </c>
      <c r="H32" s="4">
        <v>500</v>
      </c>
      <c r="I32" s="4">
        <v>1000</v>
      </c>
      <c r="J32" s="4">
        <f>+H32*I32</f>
        <v>500000</v>
      </c>
    </row>
    <row r="33" spans="2:10">
      <c r="B33" s="4" t="s">
        <v>587</v>
      </c>
      <c r="C33" s="4">
        <v>266</v>
      </c>
      <c r="D33" s="191">
        <f t="shared" ref="D33:D35" si="5">+D13*1.1</f>
        <v>1100</v>
      </c>
      <c r="E33" s="4">
        <f t="shared" ref="E33:E35" si="6">+C33*D33</f>
        <v>292600</v>
      </c>
      <c r="G33" s="4" t="s">
        <v>587</v>
      </c>
      <c r="H33" s="4">
        <v>266</v>
      </c>
      <c r="I33" s="4">
        <v>1000</v>
      </c>
      <c r="J33" s="4">
        <f t="shared" ref="J33:J35" si="7">+H33*I33</f>
        <v>266000</v>
      </c>
    </row>
    <row r="34" spans="2:10">
      <c r="B34" s="4" t="s">
        <v>588</v>
      </c>
      <c r="C34" s="4">
        <v>34</v>
      </c>
      <c r="D34" s="191">
        <f t="shared" si="5"/>
        <v>1100</v>
      </c>
      <c r="E34" s="51">
        <f t="shared" si="6"/>
        <v>37400</v>
      </c>
      <c r="G34" s="4" t="s">
        <v>588</v>
      </c>
      <c r="H34" s="4">
        <v>34</v>
      </c>
      <c r="I34" s="4">
        <v>1000</v>
      </c>
      <c r="J34" s="51">
        <f t="shared" si="7"/>
        <v>34000</v>
      </c>
    </row>
    <row r="35" spans="2:10" ht="16.8" thickBot="1">
      <c r="B35" s="4" t="s">
        <v>589</v>
      </c>
      <c r="C35" s="57">
        <f>+C32-SUM(C33:C34)</f>
        <v>200</v>
      </c>
      <c r="D35" s="191">
        <f t="shared" si="5"/>
        <v>1100</v>
      </c>
      <c r="E35" s="4">
        <f t="shared" si="6"/>
        <v>220000</v>
      </c>
      <c r="G35" s="4" t="s">
        <v>589</v>
      </c>
      <c r="H35" s="57">
        <f>+H32-SUM(H33:H34)</f>
        <v>200</v>
      </c>
      <c r="I35" s="4">
        <v>1000</v>
      </c>
      <c r="J35" s="4">
        <f t="shared" si="7"/>
        <v>200000</v>
      </c>
    </row>
    <row r="36" spans="2:10" ht="16.8" thickTop="1">
      <c r="B36" s="4" t="s">
        <v>590</v>
      </c>
      <c r="E36" s="4">
        <v>101520</v>
      </c>
      <c r="G36" s="4" t="s">
        <v>590</v>
      </c>
      <c r="J36" s="191">
        <f>+E36+10000</f>
        <v>111520</v>
      </c>
    </row>
    <row r="37" spans="2:10">
      <c r="B37" s="4" t="s">
        <v>591</v>
      </c>
      <c r="E37" s="4">
        <v>48080</v>
      </c>
      <c r="G37" s="4" t="s">
        <v>591</v>
      </c>
      <c r="J37" s="4">
        <v>48080</v>
      </c>
    </row>
    <row r="38" spans="2:10" ht="16.8" thickBot="1">
      <c r="B38" s="4" t="s">
        <v>592</v>
      </c>
      <c r="E38" s="41">
        <f>+E35-SUM(E36:E37)</f>
        <v>70400</v>
      </c>
      <c r="G38" s="4" t="s">
        <v>592</v>
      </c>
      <c r="J38" s="41">
        <f>+J35-SUM(J36:J37)</f>
        <v>40400</v>
      </c>
    </row>
    <row r="39" spans="2:10" ht="16.8" thickTop="1"/>
  </sheetData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52"/>
  <sheetViews>
    <sheetView zoomScale="90" zoomScaleNormal="90" workbookViewId="0">
      <selection activeCell="F18" sqref="F18"/>
    </sheetView>
  </sheetViews>
  <sheetFormatPr defaultColWidth="12" defaultRowHeight="16.2"/>
  <cols>
    <col min="1" max="1" width="12.109375" style="4" customWidth="1"/>
    <col min="2" max="5" width="13.109375" style="4" customWidth="1"/>
    <col min="6" max="7" width="12.6640625" style="4" customWidth="1"/>
    <col min="8" max="10" width="13.109375" style="4" customWidth="1"/>
    <col min="11" max="11" width="12" style="4"/>
    <col min="12" max="12" width="11.88671875" style="4" customWidth="1"/>
    <col min="13" max="16384" width="12" style="4"/>
  </cols>
  <sheetData>
    <row r="1" spans="1:17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 t="s">
        <v>396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spans="1:17" s="12" customForma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ht="18" customHeight="1">
      <c r="A5" s="13" t="s">
        <v>605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>
      <c r="A6" s="16"/>
      <c r="B6" s="17" t="s">
        <v>606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6"/>
      <c r="B7" s="17" t="s">
        <v>607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29" customFormat="1"/>
    <row r="10" spans="1:17" s="29" customFormat="1">
      <c r="B10" s="4" t="s">
        <v>561</v>
      </c>
      <c r="C10" s="4"/>
      <c r="D10" s="4"/>
      <c r="E10" s="4"/>
    </row>
    <row r="11" spans="1:17" s="29" customFormat="1">
      <c r="B11" s="4"/>
      <c r="C11" s="4"/>
      <c r="D11" s="4" t="s">
        <v>568</v>
      </c>
      <c r="E11" s="4" t="s">
        <v>569</v>
      </c>
      <c r="F11" s="4"/>
      <c r="H11" s="29" t="s">
        <v>572</v>
      </c>
    </row>
    <row r="12" spans="1:17" s="29" customFormat="1">
      <c r="B12" s="4"/>
      <c r="C12" s="4" t="s">
        <v>562</v>
      </c>
      <c r="D12" s="4">
        <v>500</v>
      </c>
      <c r="E12" s="4">
        <v>700</v>
      </c>
      <c r="F12" s="4"/>
      <c r="H12" s="29">
        <f>+D12*D$17+E12*E$17</f>
        <v>2900</v>
      </c>
    </row>
    <row r="13" spans="1:17" s="29" customFormat="1">
      <c r="B13" s="4"/>
      <c r="C13" s="4" t="s">
        <v>581</v>
      </c>
      <c r="D13" s="4">
        <v>450</v>
      </c>
      <c r="E13" s="4">
        <v>600</v>
      </c>
      <c r="F13" s="4"/>
      <c r="H13" s="29">
        <f>+D13*D$17+E13*E$17</f>
        <v>2550</v>
      </c>
    </row>
    <row r="14" spans="1:17" s="29" customFormat="1" ht="16.8" thickBot="1">
      <c r="G14" s="58" t="s">
        <v>573</v>
      </c>
      <c r="H14" s="57">
        <f>+H12-H13</f>
        <v>350</v>
      </c>
      <c r="I14" s="187">
        <f>+H14/H12</f>
        <v>0.1206896551724138</v>
      </c>
    </row>
    <row r="15" spans="1:17" s="29" customFormat="1" ht="16.8" thickTop="1">
      <c r="C15" s="29" t="s">
        <v>582</v>
      </c>
      <c r="D15" s="235">
        <v>455000</v>
      </c>
      <c r="E15" s="235"/>
    </row>
    <row r="16" spans="1:17" s="29" customFormat="1"/>
    <row r="17" spans="1:17" s="29" customFormat="1">
      <c r="C17" s="58" t="s">
        <v>571</v>
      </c>
      <c r="D17" s="29">
        <v>3</v>
      </c>
      <c r="E17" s="29">
        <v>2</v>
      </c>
    </row>
    <row r="18" spans="1:17" s="29" customFormat="1"/>
    <row r="19" spans="1:17" s="29" customFormat="1">
      <c r="B19" s="4"/>
      <c r="C19" s="4"/>
      <c r="D19" s="4" t="s">
        <v>578</v>
      </c>
      <c r="E19" s="4"/>
      <c r="F19" s="4"/>
    </row>
    <row r="20" spans="1:17">
      <c r="B20" s="4" t="s">
        <v>576</v>
      </c>
      <c r="C20" s="185">
        <f>+D15/I14/H12</f>
        <v>1300</v>
      </c>
      <c r="D20" s="28">
        <f>+$C20*D17</f>
        <v>3900</v>
      </c>
      <c r="E20" s="28">
        <f t="shared" ref="E20" si="0">+$C20*E17</f>
        <v>2600</v>
      </c>
      <c r="F20" s="4" t="s">
        <v>583</v>
      </c>
    </row>
    <row r="21" spans="1:17">
      <c r="C21" s="185"/>
      <c r="D21" s="185"/>
      <c r="E21" s="185"/>
      <c r="G21" s="29"/>
      <c r="H21" s="29" t="s">
        <v>572</v>
      </c>
      <c r="I21" s="29"/>
    </row>
    <row r="22" spans="1:17">
      <c r="C22" s="58" t="s">
        <v>580</v>
      </c>
      <c r="D22" s="184">
        <v>3</v>
      </c>
      <c r="E22" s="184">
        <f>+D22*D12*2.33333333333333/E12</f>
        <v>4.9999999999999929</v>
      </c>
      <c r="G22" s="29"/>
      <c r="H22" s="29">
        <f>+D12*D$22+E12*E$22</f>
        <v>4999.9999999999945</v>
      </c>
      <c r="I22" s="29"/>
    </row>
    <row r="23" spans="1:17">
      <c r="B23" s="4" t="s">
        <v>576</v>
      </c>
      <c r="C23" s="188">
        <f>+D15/I24</f>
        <v>3500000.0000000061</v>
      </c>
      <c r="D23" s="189">
        <f>+C23*0.3</f>
        <v>1050000.0000000019</v>
      </c>
      <c r="E23" s="189">
        <f>+C23*0.7</f>
        <v>2450000.0000000042</v>
      </c>
      <c r="G23" s="29"/>
      <c r="H23" s="29">
        <f>+D13*D$22+E13*E$22</f>
        <v>4349.9999999999964</v>
      </c>
      <c r="I23" s="29"/>
    </row>
    <row r="24" spans="1:17" ht="16.8" thickBot="1">
      <c r="C24" s="185"/>
      <c r="D24" s="185"/>
      <c r="E24" s="185"/>
      <c r="G24" s="58" t="s">
        <v>573</v>
      </c>
      <c r="H24" s="57">
        <f>+H22-H23</f>
        <v>649.99999999999818</v>
      </c>
      <c r="I24" s="187">
        <f>+H24/H22</f>
        <v>0.12999999999999978</v>
      </c>
    </row>
    <row r="25" spans="1:17" ht="16.8" thickTop="1"/>
    <row r="26" spans="1:17" ht="18" customHeight="1">
      <c r="A26" s="13" t="s">
        <v>608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spans="1:17">
      <c r="A27" s="16"/>
      <c r="B27" s="17" t="s">
        <v>609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</row>
    <row r="28" spans="1:17">
      <c r="A28" s="16"/>
      <c r="B28" s="17" t="s">
        <v>610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</row>
    <row r="29" spans="1:17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</row>
    <row r="31" spans="1:17">
      <c r="B31" s="4" t="s">
        <v>561</v>
      </c>
    </row>
    <row r="32" spans="1:17">
      <c r="D32" s="4" t="s">
        <v>568</v>
      </c>
      <c r="E32" s="4" t="s">
        <v>569</v>
      </c>
      <c r="F32" s="4" t="s">
        <v>570</v>
      </c>
      <c r="H32" s="4" t="s">
        <v>572</v>
      </c>
    </row>
    <row r="33" spans="1:9">
      <c r="C33" s="4" t="s">
        <v>562</v>
      </c>
      <c r="D33" s="4">
        <v>3000</v>
      </c>
      <c r="E33" s="4">
        <v>2000</v>
      </c>
      <c r="F33" s="4">
        <v>1600</v>
      </c>
      <c r="H33" s="4">
        <f>+D33*D$41+E33*E$41+F33*F$41</f>
        <v>24200</v>
      </c>
    </row>
    <row r="34" spans="1:9">
      <c r="C34" s="4" t="s">
        <v>563</v>
      </c>
      <c r="D34" s="4">
        <v>1440</v>
      </c>
      <c r="E34" s="4">
        <v>970</v>
      </c>
      <c r="F34" s="4">
        <v>800</v>
      </c>
      <c r="H34" s="4">
        <f>+D34*D$41+E34*E$41+F34*F$41</f>
        <v>11710</v>
      </c>
    </row>
    <row r="35" spans="1:9">
      <c r="C35" s="4" t="s">
        <v>564</v>
      </c>
      <c r="D35" s="4">
        <v>360</v>
      </c>
      <c r="E35" s="4">
        <v>330</v>
      </c>
      <c r="F35" s="4">
        <v>320</v>
      </c>
      <c r="H35" s="4">
        <f>+D35*D$41+E35*E$41+F35*F$41</f>
        <v>3430</v>
      </c>
      <c r="I35" s="4" t="s">
        <v>574</v>
      </c>
    </row>
    <row r="36" spans="1:9" ht="16.8" thickBot="1">
      <c r="G36" s="58" t="s">
        <v>573</v>
      </c>
      <c r="H36" s="57">
        <f>+H33-SUM(H34:H35)</f>
        <v>9060</v>
      </c>
      <c r="I36" s="187">
        <f>+H36/H33</f>
        <v>0.37438016528925622</v>
      </c>
    </row>
    <row r="37" spans="1:9" ht="16.8" thickTop="1">
      <c r="C37" s="4" t="s">
        <v>565</v>
      </c>
      <c r="D37" s="4">
        <v>2520000</v>
      </c>
      <c r="E37" s="4">
        <v>2160000</v>
      </c>
      <c r="F37" s="4">
        <v>1764000</v>
      </c>
    </row>
    <row r="38" spans="1:9">
      <c r="C38" s="4" t="s">
        <v>566</v>
      </c>
      <c r="D38" s="4">
        <v>991800</v>
      </c>
      <c r="E38" s="4">
        <v>595000</v>
      </c>
      <c r="F38" s="4">
        <v>396800</v>
      </c>
    </row>
    <row r="39" spans="1:9">
      <c r="C39" s="4" t="s">
        <v>567</v>
      </c>
      <c r="D39" s="234">
        <v>4800000</v>
      </c>
      <c r="E39" s="234"/>
      <c r="F39" s="234"/>
    </row>
    <row r="41" spans="1:9">
      <c r="C41" s="58" t="s">
        <v>571</v>
      </c>
      <c r="D41" s="4">
        <v>5</v>
      </c>
      <c r="E41" s="4">
        <v>3</v>
      </c>
      <c r="F41" s="4">
        <v>2</v>
      </c>
    </row>
    <row r="43" spans="1:9">
      <c r="A43" s="4" t="s">
        <v>575</v>
      </c>
      <c r="D43" s="4" t="s">
        <v>578</v>
      </c>
    </row>
    <row r="44" spans="1:9">
      <c r="B44" s="4" t="s">
        <v>576</v>
      </c>
      <c r="C44" s="185">
        <f>+SUM(D37:F39)/I36/H33</f>
        <v>1460</v>
      </c>
      <c r="D44" s="28">
        <f>+$C44*D41</f>
        <v>7300</v>
      </c>
      <c r="E44" s="28">
        <f t="shared" ref="E44:F44" si="1">+$C44*E41</f>
        <v>4380</v>
      </c>
      <c r="F44" s="28">
        <f t="shared" si="1"/>
        <v>2920</v>
      </c>
    </row>
    <row r="45" spans="1:9">
      <c r="B45" s="4" t="s">
        <v>577</v>
      </c>
      <c r="C45" s="4">
        <v>4530000</v>
      </c>
    </row>
    <row r="46" spans="1:9">
      <c r="B46" s="4" t="s">
        <v>576</v>
      </c>
      <c r="C46" s="185">
        <f>+SUM(C45,D37:F39)/I36/H33</f>
        <v>1960</v>
      </c>
      <c r="D46" s="28">
        <f>+$C46*D41</f>
        <v>9800</v>
      </c>
      <c r="E46" s="28">
        <f t="shared" ref="E46:F46" si="2">+$C46*E41</f>
        <v>5880</v>
      </c>
      <c r="F46" s="28">
        <f t="shared" si="2"/>
        <v>3920</v>
      </c>
    </row>
    <row r="48" spans="1:9">
      <c r="A48" s="4" t="s">
        <v>579</v>
      </c>
      <c r="C48" s="58" t="s">
        <v>580</v>
      </c>
      <c r="D48" s="186">
        <v>1</v>
      </c>
      <c r="E48" s="186">
        <f>+D48*D33*0.6/E33</f>
        <v>0.9</v>
      </c>
      <c r="F48" s="186">
        <f>+D48*D33*0.4/F33</f>
        <v>0.75</v>
      </c>
      <c r="H48" s="4" t="s">
        <v>572</v>
      </c>
    </row>
    <row r="49" spans="2:9">
      <c r="B49" s="4" t="s">
        <v>576</v>
      </c>
      <c r="C49" s="184">
        <f>+SUM(D37:F39)/I52</f>
        <v>36240000</v>
      </c>
      <c r="D49" s="28">
        <f>+$C49*D41/10</f>
        <v>18120000</v>
      </c>
      <c r="E49" s="28">
        <f t="shared" ref="E49:F49" si="3">+$C49*E41/10</f>
        <v>10872000</v>
      </c>
      <c r="F49" s="28">
        <f t="shared" si="3"/>
        <v>7248000</v>
      </c>
      <c r="G49" s="58" t="s">
        <v>562</v>
      </c>
      <c r="H49" s="4">
        <f>+D$48*D33+E$48*E33+F$48*F33</f>
        <v>6000</v>
      </c>
    </row>
    <row r="50" spans="2:9">
      <c r="G50" s="58" t="s">
        <v>563</v>
      </c>
      <c r="H50" s="4">
        <f t="shared" ref="H50:H51" si="4">+D$48*D34+E$48*E34+F$48*F34</f>
        <v>2913</v>
      </c>
    </row>
    <row r="51" spans="2:9">
      <c r="G51" s="58" t="s">
        <v>564</v>
      </c>
      <c r="H51" s="4">
        <f t="shared" si="4"/>
        <v>897</v>
      </c>
    </row>
    <row r="52" spans="2:9">
      <c r="G52" s="58" t="s">
        <v>573</v>
      </c>
      <c r="H52" s="4">
        <f>+H49-SUM(H50:H51)</f>
        <v>2190</v>
      </c>
      <c r="I52" s="183">
        <f>+H52/H49</f>
        <v>0.36499999999999999</v>
      </c>
    </row>
  </sheetData>
  <mergeCells count="2">
    <mergeCell ref="D39:F39"/>
    <mergeCell ref="D15:E15"/>
  </mergeCells>
  <phoneticPr fontId="3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目次</vt:lpstr>
      <vt:lpstr>Case3 ①</vt:lpstr>
      <vt:lpstr>Case4,5 ②</vt:lpstr>
      <vt:lpstr>Case6 ③</vt:lpstr>
      <vt:lpstr>Case7 ④⑤</vt:lpstr>
      <vt:lpstr>Case9 ⑥</vt:lpstr>
      <vt:lpstr>Case10 ⑦</vt:lpstr>
      <vt:lpstr>Case11</vt:lpstr>
      <vt:lpstr>Case12 ⑧</vt:lpstr>
      <vt:lpstr>Case13 ⑨</vt:lpstr>
      <vt:lpstr>Case14 ⑩</vt:lpstr>
      <vt:lpstr>Case16 ⑪⑫</vt:lpstr>
      <vt:lpstr>Case17</vt:lpstr>
      <vt:lpstr>Case18</vt:lpstr>
      <vt:lpstr>Case19,20 ⑬⑭⑮</vt:lpstr>
      <vt:lpstr>白紙 (10)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2018-07-14T23:39:26Z</cp:lastPrinted>
  <dcterms:created xsi:type="dcterms:W3CDTF">2017-06-21T10:42:28Z</dcterms:created>
  <dcterms:modified xsi:type="dcterms:W3CDTF">2018-07-24T11:23:08Z</dcterms:modified>
</cp:coreProperties>
</file>