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D:\退避保存用フォルダ\"/>
    </mc:Choice>
  </mc:AlternateContent>
  <bookViews>
    <workbookView xWindow="3348" yWindow="0" windowWidth="19200" windowHeight="8892" firstSheet="6" activeTab="18"/>
  </bookViews>
  <sheets>
    <sheet name="目次" sheetId="13" r:id="rId1"/>
    <sheet name="例題 1章" sheetId="33" r:id="rId2"/>
    <sheet name="例題 2章" sheetId="34" r:id="rId3"/>
    <sheet name="①" sheetId="14" r:id="rId4"/>
    <sheet name="②" sheetId="15" r:id="rId5"/>
    <sheet name="③" sheetId="16" r:id="rId6"/>
    <sheet name="④" sheetId="17" r:id="rId7"/>
    <sheet name="⑤" sheetId="18" r:id="rId8"/>
    <sheet name="⑥" sheetId="19" r:id="rId9"/>
    <sheet name="⑦" sheetId="20" r:id="rId10"/>
    <sheet name="⑧" sheetId="21" r:id="rId11"/>
    <sheet name="⑨" sheetId="22" r:id="rId12"/>
    <sheet name="⑩" sheetId="23" r:id="rId13"/>
    <sheet name="⑪" sheetId="24" r:id="rId14"/>
    <sheet name="⑫" sheetId="25" r:id="rId15"/>
    <sheet name="⑬" sheetId="26" r:id="rId16"/>
    <sheet name="⑭" sheetId="27" r:id="rId17"/>
    <sheet name="⑮" sheetId="28" r:id="rId18"/>
    <sheet name="⑰" sheetId="29" r:id="rId19"/>
    <sheet name="⑱" sheetId="30" r:id="rId20"/>
    <sheet name="⑲" sheetId="31" r:id="rId21"/>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5" i="34" l="1"/>
  <c r="C17" i="34"/>
  <c r="D19" i="34"/>
  <c r="C20" i="34" s="1"/>
  <c r="C33" i="34"/>
  <c r="D33" i="34"/>
  <c r="E33" i="34"/>
  <c r="F33" i="34"/>
  <c r="C36" i="34"/>
  <c r="C38" i="34"/>
  <c r="C40" i="34"/>
  <c r="D40" i="34"/>
  <c r="E40" i="34"/>
  <c r="F40" i="34"/>
  <c r="C41" i="34"/>
  <c r="J53" i="34"/>
  <c r="M53" i="34"/>
  <c r="J57" i="34"/>
  <c r="M57" i="34"/>
  <c r="J61" i="34"/>
  <c r="M61" i="34"/>
  <c r="D76" i="34"/>
  <c r="D78" i="34" s="1"/>
  <c r="C78" i="34"/>
  <c r="C79" i="34"/>
  <c r="D87" i="34"/>
  <c r="D89" i="34" s="1"/>
  <c r="C89" i="34"/>
  <c r="C90" i="34"/>
  <c r="K101" i="34"/>
  <c r="K102" i="34"/>
  <c r="C107" i="34"/>
  <c r="C108" i="34"/>
  <c r="K112" i="34"/>
  <c r="M112" i="34"/>
  <c r="K114" i="34"/>
  <c r="K116" i="34" s="1"/>
  <c r="H116" i="34"/>
  <c r="C117" i="34"/>
  <c r="C118" i="34"/>
  <c r="C138" i="34"/>
  <c r="D139" i="34"/>
  <c r="E139" i="34"/>
  <c r="F139" i="34"/>
  <c r="J140" i="34"/>
  <c r="J143" i="34" s="1"/>
  <c r="J144" i="34" s="1"/>
  <c r="K140" i="34"/>
  <c r="L140" i="34"/>
  <c r="L141" i="34" s="1"/>
  <c r="L143" i="34" s="1"/>
  <c r="L144" i="34" s="1"/>
  <c r="K141" i="34"/>
  <c r="D140" i="34" s="1"/>
  <c r="E140" i="34" s="1"/>
  <c r="K143" i="34"/>
  <c r="K145" i="34"/>
  <c r="F143" i="34" s="1"/>
  <c r="C161" i="34"/>
  <c r="D161" i="34"/>
  <c r="E161" i="34"/>
  <c r="F161" i="34"/>
  <c r="C162" i="34"/>
  <c r="D162" i="34"/>
  <c r="E162" i="34"/>
  <c r="F162" i="34"/>
  <c r="C163" i="34"/>
  <c r="D163" i="34"/>
  <c r="E163" i="34"/>
  <c r="F163" i="34"/>
  <c r="C164" i="34"/>
  <c r="C145" i="34" s="1"/>
  <c r="C146" i="34" s="1"/>
  <c r="D164" i="34"/>
  <c r="E164" i="34"/>
  <c r="E145" i="34" s="1"/>
  <c r="F164" i="34"/>
  <c r="G13" i="33"/>
  <c r="G16" i="33" s="1"/>
  <c r="H25" i="33" s="1"/>
  <c r="G15" i="33"/>
  <c r="C16" i="33"/>
  <c r="H28" i="33"/>
  <c r="D49" i="33"/>
  <c r="B50" i="33"/>
  <c r="D50" i="33" s="1"/>
  <c r="D51" i="33" s="1"/>
  <c r="H50" i="33"/>
  <c r="O62" i="33"/>
  <c r="S62" i="33"/>
  <c r="T62" i="33"/>
  <c r="T67" i="33" s="1"/>
  <c r="T69" i="33" s="1"/>
  <c r="N63" i="33"/>
  <c r="E64" i="33"/>
  <c r="L64" i="33"/>
  <c r="M64" i="33"/>
  <c r="N64" i="33"/>
  <c r="S64" i="33"/>
  <c r="M65" i="33"/>
  <c r="S65" i="33"/>
  <c r="B66" i="33"/>
  <c r="S66" i="33"/>
  <c r="T66" i="33" s="1"/>
  <c r="B69" i="33"/>
  <c r="D87" i="33"/>
  <c r="H87" i="33"/>
  <c r="H90" i="33" s="1"/>
  <c r="D90" i="33"/>
  <c r="D93" i="33" s="1"/>
  <c r="E102" i="33"/>
  <c r="E103" i="33"/>
  <c r="E104" i="33" s="1"/>
  <c r="B104" i="33"/>
  <c r="C104" i="33"/>
  <c r="D104" i="33"/>
  <c r="D108" i="33" s="1"/>
  <c r="E106" i="33"/>
  <c r="E107" i="33"/>
  <c r="B108" i="33"/>
  <c r="C108" i="33"/>
  <c r="E108" i="33" s="1"/>
  <c r="E113" i="33" s="1"/>
  <c r="I124" i="33"/>
  <c r="J130" i="33" s="1"/>
  <c r="D128" i="33"/>
  <c r="L145" i="34" l="1"/>
  <c r="F144" i="34"/>
  <c r="F140" i="34"/>
  <c r="E146" i="34"/>
  <c r="E148" i="34" s="1"/>
  <c r="H37" i="33"/>
  <c r="H38" i="33" s="1"/>
  <c r="H30" i="33"/>
  <c r="C148" i="34"/>
  <c r="J145" i="34"/>
  <c r="F142" i="34" s="1"/>
  <c r="F146" i="34" s="1"/>
  <c r="F148" i="34" s="1"/>
  <c r="J118" i="34"/>
  <c r="J119" i="34" s="1"/>
  <c r="D114" i="34" s="1"/>
  <c r="K118" i="34"/>
  <c r="C65" i="33"/>
  <c r="D145" i="34"/>
  <c r="D146" i="34" s="1"/>
  <c r="D104" i="34"/>
  <c r="F145" i="34"/>
  <c r="D148" i="34" l="1"/>
  <c r="C147" i="34"/>
  <c r="D118" i="34"/>
  <c r="E114" i="34"/>
  <c r="D117" i="34"/>
  <c r="C149" i="34"/>
  <c r="E65" i="33"/>
  <c r="L65" i="33"/>
  <c r="D107" i="34"/>
  <c r="D108" i="34" s="1"/>
  <c r="E104" i="34"/>
  <c r="F114" i="34" l="1"/>
  <c r="E117" i="34"/>
  <c r="E118" i="34"/>
  <c r="N65" i="33"/>
  <c r="E66" i="33"/>
  <c r="F104" i="34"/>
  <c r="E107" i="34"/>
  <c r="E108" i="34" s="1"/>
  <c r="G104" i="34" l="1"/>
  <c r="F107" i="34"/>
  <c r="F108" i="34" s="1"/>
  <c r="E69" i="33"/>
  <c r="E71" i="33" s="1"/>
  <c r="N66" i="33"/>
  <c r="O66" i="33" s="1"/>
  <c r="O67" i="33" s="1"/>
  <c r="O69" i="33" s="1"/>
  <c r="O71" i="33" s="1"/>
  <c r="H64" i="33"/>
  <c r="G114" i="34"/>
  <c r="F117" i="34"/>
  <c r="F118" i="34"/>
  <c r="G118" i="34" l="1"/>
  <c r="H114" i="34"/>
  <c r="G117" i="34"/>
  <c r="H104" i="34"/>
  <c r="H107" i="34" s="1"/>
  <c r="H108" i="34" s="1"/>
  <c r="C109" i="34" s="1"/>
  <c r="G107" i="34"/>
  <c r="G108" i="34" s="1"/>
  <c r="H118" i="34" l="1"/>
  <c r="C119" i="34" s="1"/>
  <c r="H117" i="34"/>
  <c r="D67" i="31" l="1"/>
  <c r="D66" i="31"/>
  <c r="D60" i="31" l="1"/>
  <c r="D61" i="31"/>
  <c r="G50" i="31"/>
  <c r="E61" i="31" s="1"/>
  <c r="G49" i="31"/>
  <c r="F60" i="31" s="1"/>
  <c r="G45" i="31"/>
  <c r="E57" i="31" s="1"/>
  <c r="G44" i="31"/>
  <c r="E56" i="31" s="1"/>
  <c r="F27" i="31"/>
  <c r="E27" i="31"/>
  <c r="E33" i="31" s="1"/>
  <c r="D27" i="31"/>
  <c r="D14" i="31"/>
  <c r="D15" i="31" s="1"/>
  <c r="F29" i="31"/>
  <c r="E29" i="31"/>
  <c r="D29" i="31"/>
  <c r="E32" i="30"/>
  <c r="E31" i="30"/>
  <c r="E33" i="30" s="1"/>
  <c r="E28" i="30"/>
  <c r="E27" i="30"/>
  <c r="E29" i="30" s="1"/>
  <c r="D32" i="30"/>
  <c r="D31" i="30"/>
  <c r="D28" i="30"/>
  <c r="D27" i="30"/>
  <c r="E23" i="30"/>
  <c r="D23" i="30"/>
  <c r="D56" i="29"/>
  <c r="D33" i="30" l="1"/>
  <c r="D29" i="30"/>
  <c r="F29" i="30" s="1"/>
  <c r="F61" i="31"/>
  <c r="E60" i="31"/>
  <c r="F33" i="30"/>
  <c r="F56" i="31"/>
  <c r="D56" i="31"/>
  <c r="D57" i="31"/>
  <c r="F57" i="31"/>
  <c r="E32" i="31"/>
  <c r="E36" i="31" s="1"/>
  <c r="D16" i="31"/>
  <c r="F16" i="31"/>
  <c r="E16" i="31"/>
  <c r="D33" i="29"/>
  <c r="E33" i="29" s="1"/>
  <c r="F33" i="29" s="1"/>
  <c r="G33" i="29" s="1"/>
  <c r="H33" i="29" s="1"/>
  <c r="I33" i="29" s="1"/>
  <c r="I31" i="29"/>
  <c r="I48" i="29" s="1"/>
  <c r="F31" i="29"/>
  <c r="F48" i="29" s="1"/>
  <c r="F30" i="29"/>
  <c r="F47" i="29" s="1"/>
  <c r="C30" i="29"/>
  <c r="C47" i="29" s="1"/>
  <c r="C51" i="29" s="1"/>
  <c r="C52" i="29" s="1"/>
  <c r="G9" i="29"/>
  <c r="G13" i="29" s="1"/>
  <c r="D22" i="29"/>
  <c r="E22" i="29" s="1"/>
  <c r="F22" i="29" s="1"/>
  <c r="G22" i="29" s="1"/>
  <c r="H22" i="29" s="1"/>
  <c r="I22" i="29" s="1"/>
  <c r="I20" i="29"/>
  <c r="G20" i="29"/>
  <c r="E20" i="29"/>
  <c r="G19" i="29"/>
  <c r="E19" i="29"/>
  <c r="C19" i="29"/>
  <c r="C23" i="29" s="1"/>
  <c r="C24" i="29" s="1"/>
  <c r="M21" i="29"/>
  <c r="D32" i="29" s="1"/>
  <c r="D49" i="29" s="1"/>
  <c r="D51" i="29" s="1"/>
  <c r="D52" i="29" s="1"/>
  <c r="L21" i="29"/>
  <c r="D21" i="29" s="1"/>
  <c r="H34" i="28"/>
  <c r="G34" i="28"/>
  <c r="F34" i="28"/>
  <c r="E34" i="28"/>
  <c r="H31" i="28"/>
  <c r="D19" i="28"/>
  <c r="H23" i="28"/>
  <c r="G23" i="28"/>
  <c r="F23" i="28"/>
  <c r="E23" i="28"/>
  <c r="D24" i="28"/>
  <c r="H21" i="28"/>
  <c r="H18" i="28"/>
  <c r="D16" i="28"/>
  <c r="D15" i="28"/>
  <c r="D38" i="28"/>
  <c r="F31" i="31" l="1"/>
  <c r="F43" i="31" s="1"/>
  <c r="F48" i="31"/>
  <c r="F47" i="31"/>
  <c r="D31" i="31"/>
  <c r="D43" i="31" s="1"/>
  <c r="D47" i="31"/>
  <c r="D48" i="31"/>
  <c r="D32" i="31"/>
  <c r="E31" i="31"/>
  <c r="E43" i="31" s="1"/>
  <c r="E47" i="31"/>
  <c r="E48" i="31"/>
  <c r="E37" i="31"/>
  <c r="F32" i="31"/>
  <c r="D23" i="29"/>
  <c r="D24" i="29" s="1"/>
  <c r="E21" i="29"/>
  <c r="D34" i="29"/>
  <c r="D35" i="29" s="1"/>
  <c r="E32" i="29"/>
  <c r="C34" i="29"/>
  <c r="C35" i="29" s="1"/>
  <c r="D25" i="28"/>
  <c r="L16" i="28"/>
  <c r="L19" i="28"/>
  <c r="P21" i="28"/>
  <c r="M23" i="28"/>
  <c r="N23" i="28"/>
  <c r="O23" i="28"/>
  <c r="P23" i="28"/>
  <c r="L24" i="28"/>
  <c r="M34" i="28"/>
  <c r="N34" i="28"/>
  <c r="O34" i="28"/>
  <c r="P34" i="28"/>
  <c r="L38" i="28"/>
  <c r="L48" i="28" s="1"/>
  <c r="C49" i="28"/>
  <c r="C52" i="28" s="1"/>
  <c r="C53" i="28" s="1"/>
  <c r="D49" i="28"/>
  <c r="M17" i="28" s="1"/>
  <c r="E49" i="28"/>
  <c r="M20" i="28" s="1"/>
  <c r="N20" i="28" s="1"/>
  <c r="O20" i="28" s="1"/>
  <c r="P20" i="28" s="1"/>
  <c r="C56" i="28"/>
  <c r="C57" i="28" s="1"/>
  <c r="P31" i="28" s="1"/>
  <c r="D56" i="28"/>
  <c r="D57" i="28" s="1"/>
  <c r="P18" i="28" s="1"/>
  <c r="F64" i="28"/>
  <c r="F65" i="28" s="1"/>
  <c r="F66" i="28" s="1"/>
  <c r="G64" i="28"/>
  <c r="H64" i="28" s="1"/>
  <c r="H65" i="28" s="1"/>
  <c r="H66" i="28" s="1"/>
  <c r="E65" i="28"/>
  <c r="E66" i="28" s="1"/>
  <c r="F72" i="28"/>
  <c r="E74" i="28"/>
  <c r="E75" i="28" s="1"/>
  <c r="F74" i="28"/>
  <c r="F75" i="28" s="1"/>
  <c r="E76" i="28"/>
  <c r="E77" i="28" s="1"/>
  <c r="F76" i="28"/>
  <c r="F77" i="28" s="1"/>
  <c r="H12" i="27"/>
  <c r="H14" i="27" s="1"/>
  <c r="H15" i="27" s="1"/>
  <c r="H34" i="27" s="1"/>
  <c r="L14" i="27"/>
  <c r="L15" i="27" s="1"/>
  <c r="L44" i="27" s="1"/>
  <c r="L20" i="27"/>
  <c r="L21" i="27"/>
  <c r="L22" i="27" s="1"/>
  <c r="L38" i="27" s="1"/>
  <c r="H23" i="27"/>
  <c r="H24" i="27"/>
  <c r="J25" i="27"/>
  <c r="K25" i="27" s="1"/>
  <c r="L26" i="27"/>
  <c r="I27" i="27"/>
  <c r="I28" i="27" s="1"/>
  <c r="I29" i="27"/>
  <c r="H35" i="27"/>
  <c r="I37" i="27"/>
  <c r="J37" i="27" s="1"/>
  <c r="K37" i="27" s="1"/>
  <c r="L37" i="27" s="1"/>
  <c r="I46" i="27"/>
  <c r="J46" i="27" s="1"/>
  <c r="I47" i="27"/>
  <c r="J47" i="27" s="1"/>
  <c r="K47" i="27" s="1"/>
  <c r="L47" i="27" s="1"/>
  <c r="I49" i="27"/>
  <c r="I50" i="27"/>
  <c r="C13" i="26"/>
  <c r="D15" i="26"/>
  <c r="E15" i="26"/>
  <c r="F15" i="26"/>
  <c r="G15" i="26"/>
  <c r="D16" i="26"/>
  <c r="E16" i="26"/>
  <c r="F16" i="26"/>
  <c r="G16" i="26"/>
  <c r="D18" i="26"/>
  <c r="E18" i="26"/>
  <c r="F18" i="26"/>
  <c r="G18" i="26"/>
  <c r="C21" i="26"/>
  <c r="C23" i="26" s="1"/>
  <c r="C25" i="26" s="1"/>
  <c r="N26" i="26"/>
  <c r="D27" i="26"/>
  <c r="C30" i="26"/>
  <c r="M37" i="26"/>
  <c r="M57" i="26" s="1"/>
  <c r="M58" i="26" s="1"/>
  <c r="M59" i="26" s="1"/>
  <c r="M60" i="26" s="1"/>
  <c r="L42" i="26"/>
  <c r="D20" i="26" s="1"/>
  <c r="M42" i="26"/>
  <c r="E20" i="26" s="1"/>
  <c r="M47" i="26"/>
  <c r="N47" i="26"/>
  <c r="O47" i="26"/>
  <c r="P47" i="26"/>
  <c r="L49" i="26"/>
  <c r="M49" i="26"/>
  <c r="N49" i="26"/>
  <c r="O49" i="26"/>
  <c r="L50" i="26"/>
  <c r="M50" i="26"/>
  <c r="N50" i="26"/>
  <c r="O50" i="26"/>
  <c r="L51" i="26"/>
  <c r="M51" i="26"/>
  <c r="N51" i="26"/>
  <c r="O51" i="26"/>
  <c r="L52" i="26"/>
  <c r="M52" i="26"/>
  <c r="N52" i="26"/>
  <c r="O53" i="26" s="1"/>
  <c r="F21" i="26" s="1"/>
  <c r="O52" i="26"/>
  <c r="P53" i="26" s="1"/>
  <c r="G21" i="26" s="1"/>
  <c r="L53" i="26"/>
  <c r="M53" i="26"/>
  <c r="D21" i="26" s="1"/>
  <c r="N53" i="26"/>
  <c r="E21" i="26" s="1"/>
  <c r="L57" i="26"/>
  <c r="L58" i="26"/>
  <c r="N58" i="26"/>
  <c r="N59" i="26" s="1"/>
  <c r="N60" i="26" s="1"/>
  <c r="C11" i="25"/>
  <c r="C14" i="25"/>
  <c r="H14" i="25" s="1"/>
  <c r="M14" i="25"/>
  <c r="M19" i="25" s="1"/>
  <c r="M21" i="25" s="1"/>
  <c r="M22" i="25" s="1"/>
  <c r="L20" i="25"/>
  <c r="L21" i="25" s="1"/>
  <c r="L22" i="25" s="1"/>
  <c r="C23" i="25"/>
  <c r="D13" i="25" s="1"/>
  <c r="G33" i="25"/>
  <c r="D11" i="25" s="1"/>
  <c r="C34" i="25"/>
  <c r="C36" i="25" s="1"/>
  <c r="H35" i="25"/>
  <c r="C13" i="24"/>
  <c r="I13" i="24"/>
  <c r="O13" i="24"/>
  <c r="C16" i="24"/>
  <c r="I16" i="24"/>
  <c r="O16" i="24"/>
  <c r="D13" i="23"/>
  <c r="D11" i="23" s="1"/>
  <c r="K25" i="23" s="1"/>
  <c r="K23" i="23" s="1"/>
  <c r="M19" i="23" s="1"/>
  <c r="K13" i="23"/>
  <c r="C15" i="23"/>
  <c r="K21" i="23"/>
  <c r="H11" i="22"/>
  <c r="H15" i="22" s="1"/>
  <c r="C15" i="22"/>
  <c r="D15" i="22"/>
  <c r="E15" i="22"/>
  <c r="F15" i="22"/>
  <c r="G15" i="22"/>
  <c r="C19" i="22"/>
  <c r="C13" i="21"/>
  <c r="D13" i="21"/>
  <c r="E13" i="21"/>
  <c r="F13" i="21"/>
  <c r="C16" i="21" s="1"/>
  <c r="I13" i="21"/>
  <c r="J13" i="21"/>
  <c r="K13" i="21"/>
  <c r="L13" i="21"/>
  <c r="O13" i="21"/>
  <c r="P13" i="21"/>
  <c r="Q13" i="21"/>
  <c r="R13" i="21"/>
  <c r="O14" i="21" s="1"/>
  <c r="C18" i="21"/>
  <c r="I18" i="21"/>
  <c r="O18" i="21"/>
  <c r="E17" i="20"/>
  <c r="D24" i="20" s="1"/>
  <c r="C30" i="20"/>
  <c r="E30" i="20"/>
  <c r="C31" i="20"/>
  <c r="C33" i="20" s="1"/>
  <c r="D12" i="19"/>
  <c r="D15" i="19"/>
  <c r="D16" i="19" s="1"/>
  <c r="D22" i="19" s="1"/>
  <c r="D21" i="19"/>
  <c r="F16" i="18"/>
  <c r="G16" i="18"/>
  <c r="G19" i="18" s="1"/>
  <c r="F21" i="18"/>
  <c r="F23" i="18"/>
  <c r="H23" i="18"/>
  <c r="I23" i="18"/>
  <c r="F28" i="18"/>
  <c r="F29" i="18"/>
  <c r="H29" i="18"/>
  <c r="I29" i="18"/>
  <c r="C33" i="18"/>
  <c r="C34" i="18"/>
  <c r="F40" i="18"/>
  <c r="G40" i="18"/>
  <c r="F42" i="18" s="1"/>
  <c r="H40" i="18"/>
  <c r="G50" i="18" s="1"/>
  <c r="G52" i="18" s="1"/>
  <c r="I40" i="18"/>
  <c r="H44" i="18"/>
  <c r="H61" i="18" s="1"/>
  <c r="I44" i="18"/>
  <c r="I56" i="18" s="1"/>
  <c r="H50" i="18"/>
  <c r="H51" i="18"/>
  <c r="H55" i="18"/>
  <c r="H57" i="18"/>
  <c r="G60" i="18"/>
  <c r="G62" i="18" s="1"/>
  <c r="E18" i="17"/>
  <c r="N18" i="17"/>
  <c r="G44" i="17" s="1"/>
  <c r="C19" i="17"/>
  <c r="E19" i="17"/>
  <c r="L19" i="17"/>
  <c r="N19" i="17"/>
  <c r="G45" i="17" s="1"/>
  <c r="E20" i="17"/>
  <c r="C32" i="17" s="1"/>
  <c r="N20" i="17"/>
  <c r="G46" i="17" s="1"/>
  <c r="E29" i="17"/>
  <c r="E39" i="17" s="1"/>
  <c r="C30" i="17"/>
  <c r="C33" i="17"/>
  <c r="C34" i="17"/>
  <c r="H39" i="17"/>
  <c r="E43" i="17"/>
  <c r="G43" i="17"/>
  <c r="G47" i="17" s="1"/>
  <c r="E47" i="17"/>
  <c r="C15" i="16"/>
  <c r="D15" i="16"/>
  <c r="D34" i="16"/>
  <c r="C37" i="16"/>
  <c r="E44" i="16"/>
  <c r="F15" i="15"/>
  <c r="H15" i="15"/>
  <c r="L15" i="15"/>
  <c r="L16" i="15"/>
  <c r="D17" i="15"/>
  <c r="E17" i="15" s="1"/>
  <c r="F19" i="15" s="1"/>
  <c r="D18" i="15"/>
  <c r="E18" i="15"/>
  <c r="J18" i="15"/>
  <c r="D19" i="15"/>
  <c r="E19" i="15"/>
  <c r="J19" i="15"/>
  <c r="E21" i="15"/>
  <c r="H21" i="15"/>
  <c r="J21" i="15"/>
  <c r="J23" i="15"/>
  <c r="F24" i="15"/>
  <c r="H24" i="15"/>
  <c r="J24" i="15"/>
  <c r="L24" i="15" s="1"/>
  <c r="K33" i="15"/>
  <c r="J34" i="15"/>
  <c r="J35" i="15"/>
  <c r="I40" i="15"/>
  <c r="I41" i="15" s="1"/>
  <c r="K18" i="15" s="1"/>
  <c r="G17" i="14"/>
  <c r="L18" i="14"/>
  <c r="L19" i="14" s="1"/>
  <c r="B18" i="14" s="1"/>
  <c r="D18" i="14" s="1"/>
  <c r="D22" i="14"/>
  <c r="F34" i="14"/>
  <c r="F37" i="14"/>
  <c r="D38" i="14"/>
  <c r="F38" i="14" s="1"/>
  <c r="E38" i="14"/>
  <c r="E39" i="14" s="1"/>
  <c r="D39" i="14"/>
  <c r="E40" i="14"/>
  <c r="E41" i="14" s="1"/>
  <c r="F41" i="14" s="1"/>
  <c r="D41" i="14"/>
  <c r="K27" i="27" l="1"/>
  <c r="K28" i="27" s="1"/>
  <c r="L25" i="27"/>
  <c r="L27" i="27" s="1"/>
  <c r="L28" i="27" s="1"/>
  <c r="M36" i="28"/>
  <c r="E36" i="28"/>
  <c r="F20" i="15"/>
  <c r="F22" i="15" s="1"/>
  <c r="F25" i="15" s="1"/>
  <c r="J49" i="27"/>
  <c r="J50" i="27" s="1"/>
  <c r="K46" i="27"/>
  <c r="J17" i="15"/>
  <c r="D16" i="16"/>
  <c r="F16" i="16" s="1"/>
  <c r="C21" i="16" s="1"/>
  <c r="D23" i="25"/>
  <c r="E13" i="25" s="1"/>
  <c r="N42" i="26"/>
  <c r="D34" i="26"/>
  <c r="I36" i="27"/>
  <c r="J27" i="27"/>
  <c r="J28" i="27" s="1"/>
  <c r="M22" i="28"/>
  <c r="E22" i="28"/>
  <c r="E25" i="28" s="1"/>
  <c r="L15" i="28"/>
  <c r="L25" i="28" s="1"/>
  <c r="L45" i="28" s="1"/>
  <c r="E31" i="20"/>
  <c r="E33" i="20" s="1"/>
  <c r="H39" i="27"/>
  <c r="H40" i="27" s="1"/>
  <c r="N35" i="28"/>
  <c r="F35" i="28"/>
  <c r="P22" i="28"/>
  <c r="H22" i="28"/>
  <c r="M35" i="28"/>
  <c r="E35" i="28"/>
  <c r="E38" i="28" s="1"/>
  <c r="N22" i="28"/>
  <c r="F22" i="28"/>
  <c r="M32" i="28"/>
  <c r="N32" i="28" s="1"/>
  <c r="H19" i="15"/>
  <c r="G42" i="18"/>
  <c r="O16" i="21"/>
  <c r="I16" i="21"/>
  <c r="C14" i="21"/>
  <c r="H15" i="25"/>
  <c r="H27" i="27"/>
  <c r="H28" i="27" s="1"/>
  <c r="N36" i="28"/>
  <c r="F36" i="28"/>
  <c r="N33" i="28"/>
  <c r="F33" i="28"/>
  <c r="F38" i="28" s="1"/>
  <c r="B36" i="25"/>
  <c r="D12" i="25"/>
  <c r="E12" i="25" s="1"/>
  <c r="F12" i="25" s="1"/>
  <c r="G12" i="25" s="1"/>
  <c r="H12" i="25" s="1"/>
  <c r="E23" i="25"/>
  <c r="C16" i="25"/>
  <c r="C18" i="25" s="1"/>
  <c r="G43" i="31"/>
  <c r="E62" i="31" s="1"/>
  <c r="G48" i="31"/>
  <c r="D58" i="31" s="1"/>
  <c r="G47" i="31"/>
  <c r="F55" i="31" s="1"/>
  <c r="F33" i="31"/>
  <c r="F36" i="31"/>
  <c r="D33" i="31"/>
  <c r="D36" i="31"/>
  <c r="E23" i="29"/>
  <c r="E24" i="29" s="1"/>
  <c r="F21" i="29"/>
  <c r="E49" i="29"/>
  <c r="E51" i="29" s="1"/>
  <c r="E52" i="29" s="1"/>
  <c r="F32" i="29"/>
  <c r="E34" i="29"/>
  <c r="E35" i="29" s="1"/>
  <c r="G65" i="28"/>
  <c r="G66" i="28" s="1"/>
  <c r="F25" i="28"/>
  <c r="N17" i="28"/>
  <c r="O17" i="28" s="1"/>
  <c r="M25" i="28"/>
  <c r="M45" i="28" s="1"/>
  <c r="G72" i="28"/>
  <c r="G33" i="28" s="1"/>
  <c r="I34" i="15"/>
  <c r="K34" i="15" s="1"/>
  <c r="I35" i="15"/>
  <c r="K35" i="15" s="1"/>
  <c r="K17" i="15" s="1"/>
  <c r="L19" i="15"/>
  <c r="O42" i="26"/>
  <c r="F20" i="26"/>
  <c r="F34" i="26"/>
  <c r="H20" i="15"/>
  <c r="H22" i="15" s="1"/>
  <c r="H25" i="15" s="1"/>
  <c r="N21" i="17"/>
  <c r="E21" i="17"/>
  <c r="B39" i="17" s="1"/>
  <c r="C31" i="17"/>
  <c r="I28" i="18"/>
  <c r="I30" i="18" s="1"/>
  <c r="I55" i="18"/>
  <c r="I57" i="18" s="1"/>
  <c r="K57" i="18" s="1"/>
  <c r="F24" i="18"/>
  <c r="F22" i="18"/>
  <c r="G22" i="26"/>
  <c r="L59" i="26"/>
  <c r="L60" i="26" s="1"/>
  <c r="C41" i="26" s="1"/>
  <c r="J36" i="27"/>
  <c r="I39" i="27"/>
  <c r="I40" i="27" s="1"/>
  <c r="H31" i="27"/>
  <c r="M38" i="28"/>
  <c r="M48" i="28" s="1"/>
  <c r="F39" i="14"/>
  <c r="G48" i="17"/>
  <c r="H52" i="18"/>
  <c r="K52" i="18" s="1"/>
  <c r="F30" i="18"/>
  <c r="F44" i="18"/>
  <c r="F45" i="18" s="1"/>
  <c r="H60" i="18"/>
  <c r="H62" i="18" s="1"/>
  <c r="K62" i="18" s="1"/>
  <c r="I19" i="18"/>
  <c r="I21" i="18" s="1"/>
  <c r="I22" i="18" s="1"/>
  <c r="H19" i="18"/>
  <c r="H21" i="18" s="1"/>
  <c r="H22" i="18" s="1"/>
  <c r="C17" i="22"/>
  <c r="D19" i="26"/>
  <c r="E19" i="26" s="1"/>
  <c r="L20" i="15"/>
  <c r="L22" i="15" s="1"/>
  <c r="L25" i="15" s="1"/>
  <c r="L27" i="15" s="1"/>
  <c r="E19" i="14"/>
  <c r="D40" i="14"/>
  <c r="F40" i="14" s="1"/>
  <c r="C25" i="16"/>
  <c r="C36" i="16"/>
  <c r="C38" i="16" s="1"/>
  <c r="C35" i="17"/>
  <c r="H43" i="18"/>
  <c r="H45" i="18" s="1"/>
  <c r="I43" i="18"/>
  <c r="I45" i="18" s="1"/>
  <c r="E11" i="25"/>
  <c r="D33" i="26"/>
  <c r="N38" i="28"/>
  <c r="N48" i="28" s="1"/>
  <c r="O32" i="28"/>
  <c r="E35" i="17"/>
  <c r="H35" i="17" s="1"/>
  <c r="H28" i="18"/>
  <c r="H30" i="18" s="1"/>
  <c r="H34" i="18" s="1"/>
  <c r="H24" i="18"/>
  <c r="I14" i="21"/>
  <c r="E34" i="26"/>
  <c r="H50" i="17" l="1"/>
  <c r="O22" i="28"/>
  <c r="G22" i="28"/>
  <c r="E58" i="31"/>
  <c r="K49" i="27"/>
  <c r="K50" i="27" s="1"/>
  <c r="H51" i="27" s="1"/>
  <c r="L46" i="27"/>
  <c r="L49" i="27" s="1"/>
  <c r="L50" i="27" s="1"/>
  <c r="J45" i="18"/>
  <c r="I34" i="18"/>
  <c r="F37" i="31"/>
  <c r="O25" i="28"/>
  <c r="O45" i="28" s="1"/>
  <c r="D37" i="31"/>
  <c r="D16" i="25"/>
  <c r="D18" i="25" s="1"/>
  <c r="F13" i="25"/>
  <c r="F23" i="25"/>
  <c r="D55" i="31"/>
  <c r="E55" i="31"/>
  <c r="F62" i="31"/>
  <c r="F58" i="31"/>
  <c r="D62" i="31"/>
  <c r="G36" i="31"/>
  <c r="B63" i="31" s="1"/>
  <c r="B59" i="31" s="1"/>
  <c r="F59" i="31" s="1"/>
  <c r="F49" i="29"/>
  <c r="F51" i="29" s="1"/>
  <c r="F52" i="29" s="1"/>
  <c r="G32" i="29"/>
  <c r="F34" i="29"/>
  <c r="F35" i="29" s="1"/>
  <c r="G21" i="29"/>
  <c r="F23" i="29"/>
  <c r="F24" i="29" s="1"/>
  <c r="P17" i="28"/>
  <c r="P25" i="28" s="1"/>
  <c r="P45" i="28" s="1"/>
  <c r="N25" i="28"/>
  <c r="N45" i="28" s="1"/>
  <c r="L46" i="28" s="1"/>
  <c r="H25" i="28"/>
  <c r="G25" i="28"/>
  <c r="G74" i="28"/>
  <c r="G75" i="28" s="1"/>
  <c r="G76" i="28"/>
  <c r="G77" i="28" s="1"/>
  <c r="O33" i="28"/>
  <c r="H72" i="28"/>
  <c r="H33" i="28" s="1"/>
  <c r="N62" i="18"/>
  <c r="N57" i="18"/>
  <c r="N52" i="18"/>
  <c r="E38" i="16"/>
  <c r="C46" i="16"/>
  <c r="E46" i="16" s="1"/>
  <c r="P32" i="28"/>
  <c r="E16" i="25"/>
  <c r="E18" i="25" s="1"/>
  <c r="F11" i="25"/>
  <c r="D23" i="26"/>
  <c r="F50" i="14"/>
  <c r="F51" i="14" s="1"/>
  <c r="F52" i="14" s="1"/>
  <c r="I31" i="18"/>
  <c r="P42" i="26"/>
  <c r="G20" i="26"/>
  <c r="G34" i="26"/>
  <c r="F19" i="26"/>
  <c r="E38" i="26"/>
  <c r="E23" i="26"/>
  <c r="E25" i="26" s="1"/>
  <c r="K36" i="27"/>
  <c r="J39" i="27"/>
  <c r="J40" i="27" s="1"/>
  <c r="H31" i="18"/>
  <c r="E33" i="26"/>
  <c r="D35" i="26"/>
  <c r="E20" i="14"/>
  <c r="F20" i="14" s="1"/>
  <c r="E28" i="14"/>
  <c r="H19" i="14"/>
  <c r="H20" i="14" s="1"/>
  <c r="D38" i="26"/>
  <c r="K65" i="18"/>
  <c r="N65" i="18" s="1"/>
  <c r="I24" i="18"/>
  <c r="J24" i="18" s="1"/>
  <c r="F42" i="14"/>
  <c r="F44" i="14" s="1"/>
  <c r="O36" i="28" l="1"/>
  <c r="G36" i="28"/>
  <c r="O35" i="28"/>
  <c r="G35" i="28"/>
  <c r="O38" i="28"/>
  <c r="O48" i="28" s="1"/>
  <c r="G13" i="25"/>
  <c r="G23" i="25"/>
  <c r="F63" i="31"/>
  <c r="F66" i="31" s="1"/>
  <c r="D63" i="31"/>
  <c r="E63" i="31"/>
  <c r="E66" i="31" s="1"/>
  <c r="H21" i="29"/>
  <c r="G23" i="29"/>
  <c r="G24" i="29" s="1"/>
  <c r="H32" i="29"/>
  <c r="G49" i="29"/>
  <c r="G51" i="29" s="1"/>
  <c r="G52" i="29" s="1"/>
  <c r="G34" i="29"/>
  <c r="G35" i="29" s="1"/>
  <c r="P33" i="28"/>
  <c r="H74" i="28"/>
  <c r="H75" i="28" s="1"/>
  <c r="H76" i="28"/>
  <c r="H77" i="28" s="1"/>
  <c r="H33" i="18"/>
  <c r="H35" i="18" s="1"/>
  <c r="F33" i="18"/>
  <c r="F35" i="18" s="1"/>
  <c r="D25" i="26"/>
  <c r="G11" i="25"/>
  <c r="F16" i="25"/>
  <c r="L36" i="27"/>
  <c r="L39" i="27" s="1"/>
  <c r="L40" i="27" s="1"/>
  <c r="K39" i="27"/>
  <c r="K40" i="27" s="1"/>
  <c r="H41" i="27" s="1"/>
  <c r="H54" i="27" s="1"/>
  <c r="E35" i="26"/>
  <c r="F33" i="26"/>
  <c r="F23" i="26"/>
  <c r="F25" i="26" s="1"/>
  <c r="G19" i="26"/>
  <c r="F38" i="26"/>
  <c r="I33" i="18"/>
  <c r="I35" i="18" s="1"/>
  <c r="P36" i="28" l="1"/>
  <c r="H36" i="28"/>
  <c r="E70" i="31"/>
  <c r="E71" i="31" s="1"/>
  <c r="E67" i="31"/>
  <c r="P35" i="28"/>
  <c r="H35" i="28"/>
  <c r="H38" i="28" s="1"/>
  <c r="D70" i="31"/>
  <c r="D71" i="31" s="1"/>
  <c r="F67" i="31"/>
  <c r="F70" i="31"/>
  <c r="F71" i="31" s="1"/>
  <c r="G38" i="28"/>
  <c r="H13" i="25"/>
  <c r="H23" i="25"/>
  <c r="I21" i="29"/>
  <c r="I23" i="29" s="1"/>
  <c r="I24" i="29" s="1"/>
  <c r="H23" i="29"/>
  <c r="H24" i="29" s="1"/>
  <c r="I32" i="29"/>
  <c r="H49" i="29"/>
  <c r="H51" i="29" s="1"/>
  <c r="H52" i="29" s="1"/>
  <c r="H34" i="29"/>
  <c r="H35" i="29" s="1"/>
  <c r="P38" i="28"/>
  <c r="P48" i="28" s="1"/>
  <c r="L49" i="28" s="1"/>
  <c r="L51" i="28" s="1"/>
  <c r="J35" i="18"/>
  <c r="F18" i="25"/>
  <c r="G23" i="26"/>
  <c r="G25" i="26" s="1"/>
  <c r="G38" i="26"/>
  <c r="G16" i="25"/>
  <c r="G18" i="25" s="1"/>
  <c r="H11" i="25"/>
  <c r="H16" i="25" s="1"/>
  <c r="H18" i="25" s="1"/>
  <c r="C26" i="26"/>
  <c r="C44" i="26" s="1"/>
  <c r="F35" i="26"/>
  <c r="G33" i="26"/>
  <c r="G35" i="26" s="1"/>
  <c r="C25" i="29" l="1"/>
  <c r="I49" i="29"/>
  <c r="I51" i="29" s="1"/>
  <c r="I52" i="29" s="1"/>
  <c r="I34" i="29"/>
  <c r="I35" i="29" s="1"/>
  <c r="C36" i="29" s="1"/>
  <c r="C41" i="29" s="1"/>
  <c r="C54" i="29"/>
  <c r="C47" i="26"/>
  <c r="C19" i="25"/>
  <c r="C20" i="25"/>
  <c r="C58" i="29" l="1"/>
  <c r="C59" i="29" s="1"/>
</calcChain>
</file>

<file path=xl/comments1.xml><?xml version="1.0" encoding="utf-8"?>
<comments xmlns="http://schemas.openxmlformats.org/spreadsheetml/2006/main">
  <authors>
    <author>systemuser</author>
  </authors>
  <commentList>
    <comment ref="B18" authorId="0" shapeId="0">
      <text>
        <r>
          <rPr>
            <sz val="9"/>
            <color indexed="81"/>
            <rFont val="ＭＳ Ｐゴシック"/>
            <family val="3"/>
            <charset val="128"/>
          </rPr>
          <t>ここは変動分だけにしたいので、右図の固変分解を行い、単価1，000円を使う。</t>
        </r>
        <r>
          <rPr>
            <b/>
            <sz val="9"/>
            <color indexed="81"/>
            <rFont val="ＭＳ Ｐゴシック"/>
            <family val="3"/>
            <charset val="128"/>
          </rPr>
          <t xml:space="preserve">
</t>
        </r>
      </text>
    </comment>
  </commentList>
</comments>
</file>

<file path=xl/comments2.xml><?xml version="1.0" encoding="utf-8"?>
<comments xmlns="http://schemas.openxmlformats.org/spreadsheetml/2006/main">
  <authors>
    <author>systemuser</author>
  </authors>
  <commentList>
    <comment ref="B17" authorId="0" shapeId="0">
      <text>
        <r>
          <rPr>
            <b/>
            <sz val="9"/>
            <color indexed="81"/>
            <rFont val="ＭＳ Ｐゴシック"/>
            <family val="3"/>
            <charset val="128"/>
          </rPr>
          <t>値引きは後で考慮する。ここは一旦1,000円で。</t>
        </r>
      </text>
    </comment>
  </commentList>
</comments>
</file>

<file path=xl/comments3.xml><?xml version="1.0" encoding="utf-8"?>
<comments xmlns="http://schemas.openxmlformats.org/spreadsheetml/2006/main">
  <authors>
    <author>systemuser</author>
  </authors>
  <commentList>
    <comment ref="E38" authorId="0" shapeId="0">
      <text>
        <r>
          <rPr>
            <sz val="9"/>
            <color indexed="81"/>
            <rFont val="ＭＳ Ｐゴシック"/>
            <family val="3"/>
            <charset val="128"/>
          </rPr>
          <t xml:space="preserve">内製・外注で費用イコールになる数量を求める。
数量＝xとおき、
2,140x＋1,120,000＝2,300xの方程式を解く。
</t>
        </r>
        <r>
          <rPr>
            <b/>
            <sz val="9"/>
            <color indexed="81"/>
            <rFont val="ＭＳ Ｐゴシック"/>
            <family val="3"/>
            <charset val="128"/>
          </rPr>
          <t xml:space="preserve">
</t>
        </r>
      </text>
    </comment>
  </commentList>
</comments>
</file>

<file path=xl/comments4.xml><?xml version="1.0" encoding="utf-8"?>
<comments xmlns="http://schemas.openxmlformats.org/spreadsheetml/2006/main">
  <authors>
    <author>systemuser</author>
  </authors>
  <commentList>
    <comment ref="D24" authorId="0" shapeId="0">
      <text>
        <r>
          <rPr>
            <sz val="9"/>
            <color indexed="81"/>
            <rFont val="ＭＳ Ｐゴシック"/>
            <family val="3"/>
            <charset val="128"/>
          </rPr>
          <t xml:space="preserve">計算条件を見せるため関数式にしているが、煩雑な式を見る意味はない。
実際は連立方程式で。
</t>
        </r>
      </text>
    </comment>
  </commentList>
</comments>
</file>

<file path=xl/comments5.xml><?xml version="1.0" encoding="utf-8"?>
<comments xmlns="http://schemas.openxmlformats.org/spreadsheetml/2006/main">
  <authors>
    <author>systemuser</author>
  </authors>
  <commentList>
    <comment ref="B59" authorId="0" shapeId="0">
      <text>
        <r>
          <rPr>
            <sz val="9"/>
            <color indexed="81"/>
            <rFont val="ＭＳ Ｐゴシック"/>
            <family val="3"/>
            <charset val="128"/>
          </rPr>
          <t>問2で求めた製造間接費等計から逆算</t>
        </r>
      </text>
    </comment>
  </commentList>
</comments>
</file>

<file path=xl/sharedStrings.xml><?xml version="1.0" encoding="utf-8"?>
<sst xmlns="http://schemas.openxmlformats.org/spreadsheetml/2006/main" count="1632" uniqueCount="957">
  <si>
    <t>解き方</t>
    <rPh sb="0" eb="1">
      <t>ト</t>
    </rPh>
    <rPh sb="2" eb="3">
      <t>カタ</t>
    </rPh>
    <phoneticPr fontId="3"/>
  </si>
  <si>
    <t>現価係数</t>
    <rPh sb="0" eb="2">
      <t>ゲンカ</t>
    </rPh>
    <rPh sb="2" eb="4">
      <t>ケイスウ</t>
    </rPh>
    <phoneticPr fontId="3"/>
  </si>
  <si>
    <t>問題⑧</t>
    <rPh sb="0" eb="2">
      <t>モンダイ</t>
    </rPh>
    <phoneticPr fontId="3"/>
  </si>
  <si>
    <t>投資案A</t>
    <rPh sb="0" eb="2">
      <t>トウシ</t>
    </rPh>
    <rPh sb="2" eb="3">
      <t>アン</t>
    </rPh>
    <phoneticPr fontId="3"/>
  </si>
  <si>
    <t>T0</t>
    <phoneticPr fontId="3"/>
  </si>
  <si>
    <t>T1</t>
    <phoneticPr fontId="3"/>
  </si>
  <si>
    <t>T2</t>
    <phoneticPr fontId="3"/>
  </si>
  <si>
    <t>T3</t>
    <phoneticPr fontId="3"/>
  </si>
  <si>
    <t>CIF</t>
    <phoneticPr fontId="3"/>
  </si>
  <si>
    <t>割引後CIF</t>
    <rPh sb="0" eb="2">
      <t>ワリビキ</t>
    </rPh>
    <rPh sb="2" eb="3">
      <t>ゴ</t>
    </rPh>
    <phoneticPr fontId="3"/>
  </si>
  <si>
    <t>収益性指数</t>
    <rPh sb="0" eb="3">
      <t>シュウエキセイ</t>
    </rPh>
    <rPh sb="3" eb="5">
      <t>シスウ</t>
    </rPh>
    <phoneticPr fontId="3"/>
  </si>
  <si>
    <t>内部利益率</t>
    <rPh sb="0" eb="2">
      <t>ナイブ</t>
    </rPh>
    <rPh sb="2" eb="4">
      <t>リエキ</t>
    </rPh>
    <rPh sb="4" eb="5">
      <t>リツ</t>
    </rPh>
    <phoneticPr fontId="3"/>
  </si>
  <si>
    <t>問1</t>
    <rPh sb="0" eb="1">
      <t>ト</t>
    </rPh>
    <phoneticPr fontId="3"/>
  </si>
  <si>
    <t>問2</t>
    <rPh sb="0" eb="1">
      <t>ト</t>
    </rPh>
    <phoneticPr fontId="3"/>
  </si>
  <si>
    <t>問3</t>
    <rPh sb="0" eb="1">
      <t>ト</t>
    </rPh>
    <phoneticPr fontId="3"/>
  </si>
  <si>
    <t>・設備投資意思決定の評価モデルで最も使われる、NPV法、IRR法、PI法に関する基本問題。(IRR法を除き)電卓手計算でも求まるが、エクセルを使って答えを先に知り、それから電卓手計算する方が、効果・納得度ともに高い。</t>
    <rPh sb="1" eb="3">
      <t>セツビ</t>
    </rPh>
    <rPh sb="3" eb="5">
      <t>トウシ</t>
    </rPh>
    <rPh sb="5" eb="7">
      <t>イシ</t>
    </rPh>
    <rPh sb="7" eb="9">
      <t>ケッテイ</t>
    </rPh>
    <rPh sb="10" eb="12">
      <t>ヒョウカ</t>
    </rPh>
    <rPh sb="16" eb="17">
      <t>モット</t>
    </rPh>
    <rPh sb="18" eb="19">
      <t>ツカ</t>
    </rPh>
    <rPh sb="26" eb="27">
      <t>ホウ</t>
    </rPh>
    <rPh sb="31" eb="32">
      <t>ホウ</t>
    </rPh>
    <rPh sb="35" eb="36">
      <t>ホウ</t>
    </rPh>
    <rPh sb="37" eb="38">
      <t>カン</t>
    </rPh>
    <rPh sb="40" eb="42">
      <t>キホン</t>
    </rPh>
    <rPh sb="42" eb="44">
      <t>モンダイ</t>
    </rPh>
    <rPh sb="49" eb="50">
      <t>ホウ</t>
    </rPh>
    <rPh sb="51" eb="52">
      <t>ノゾ</t>
    </rPh>
    <rPh sb="54" eb="56">
      <t>デンタク</t>
    </rPh>
    <rPh sb="56" eb="57">
      <t>テ</t>
    </rPh>
    <rPh sb="57" eb="59">
      <t>ケイサン</t>
    </rPh>
    <rPh sb="61" eb="62">
      <t>モト</t>
    </rPh>
    <rPh sb="71" eb="72">
      <t>ツカ</t>
    </rPh>
    <rPh sb="74" eb="75">
      <t>コタ</t>
    </rPh>
    <rPh sb="77" eb="78">
      <t>サキ</t>
    </rPh>
    <rPh sb="79" eb="80">
      <t>シ</t>
    </rPh>
    <rPh sb="86" eb="88">
      <t>デンタク</t>
    </rPh>
    <rPh sb="88" eb="89">
      <t>テ</t>
    </rPh>
    <rPh sb="89" eb="91">
      <t>ケイサン</t>
    </rPh>
    <rPh sb="93" eb="94">
      <t>ホウ</t>
    </rPh>
    <rPh sb="96" eb="98">
      <t>コウカ</t>
    </rPh>
    <rPh sb="99" eb="101">
      <t>ナットク</t>
    </rPh>
    <rPh sb="101" eb="102">
      <t>ド</t>
    </rPh>
    <rPh sb="105" eb="106">
      <t>タカ</t>
    </rPh>
    <phoneticPr fontId="3"/>
  </si>
  <si>
    <t>・タイムテーブルの書き方にも慣れる。①CIF算定 →②割引計算 ③合計してNPV。常にこの3段階を使うことで、解き方と答えが安定する。</t>
    <rPh sb="9" eb="10">
      <t>カ</t>
    </rPh>
    <rPh sb="11" eb="12">
      <t>カタ</t>
    </rPh>
    <rPh sb="14" eb="15">
      <t>ナ</t>
    </rPh>
    <rPh sb="22" eb="24">
      <t>サンテイ</t>
    </rPh>
    <rPh sb="27" eb="29">
      <t>ワリビキ</t>
    </rPh>
    <rPh sb="29" eb="31">
      <t>ケイサン</t>
    </rPh>
    <rPh sb="33" eb="35">
      <t>ゴウケイ</t>
    </rPh>
    <rPh sb="41" eb="42">
      <t>ツネ</t>
    </rPh>
    <rPh sb="46" eb="48">
      <t>ダンカイ</t>
    </rPh>
    <rPh sb="49" eb="50">
      <t>ツカ</t>
    </rPh>
    <rPh sb="55" eb="56">
      <t>ト</t>
    </rPh>
    <rPh sb="57" eb="58">
      <t>カタ</t>
    </rPh>
    <rPh sb="59" eb="60">
      <t>コタ</t>
    </rPh>
    <rPh sb="62" eb="64">
      <t>アンテイ</t>
    </rPh>
    <phoneticPr fontId="3"/>
  </si>
  <si>
    <t>T4</t>
  </si>
  <si>
    <t>T5</t>
  </si>
  <si>
    <t>IRR補間法</t>
    <rPh sb="3" eb="5">
      <t>ホカン</t>
    </rPh>
    <rPh sb="5" eb="6">
      <t>ホウ</t>
    </rPh>
    <phoneticPr fontId="3"/>
  </si>
  <si>
    <t>←投資による正味CIF</t>
    <rPh sb="1" eb="3">
      <t>トウシ</t>
    </rPh>
    <rPh sb="6" eb="8">
      <t>ショウミ</t>
    </rPh>
    <phoneticPr fontId="3"/>
  </si>
  <si>
    <t>←売却収入</t>
    <rPh sb="1" eb="3">
      <t>バイキャク</t>
    </rPh>
    <rPh sb="3" eb="5">
      <t>シュウニュウ</t>
    </rPh>
    <phoneticPr fontId="3"/>
  </si>
  <si>
    <t>・・NPV&gt;0なので、投資するべき</t>
    <rPh sb="11" eb="13">
      <t>トウシ</t>
    </rPh>
    <phoneticPr fontId="3"/>
  </si>
  <si>
    <t>・・割引率8.93%ならNPV＝0になる。ということは8.00%ならプラスになる。そこで投資するべき。</t>
    <rPh sb="2" eb="4">
      <t>ワリビキ</t>
    </rPh>
    <rPh sb="4" eb="5">
      <t>リツ</t>
    </rPh>
    <rPh sb="44" eb="46">
      <t>トウシ</t>
    </rPh>
    <phoneticPr fontId="3"/>
  </si>
  <si>
    <t xml:space="preserve">  なお、関数を使わずIRRを求めるため、テクニカルな図を描いて試行錯誤で求めるのが｢補間法｣。</t>
    <rPh sb="5" eb="7">
      <t>カンスウ</t>
    </rPh>
    <rPh sb="8" eb="9">
      <t>ツカ</t>
    </rPh>
    <rPh sb="15" eb="16">
      <t>モト</t>
    </rPh>
    <rPh sb="27" eb="28">
      <t>ズ</t>
    </rPh>
    <rPh sb="29" eb="30">
      <t>カ</t>
    </rPh>
    <rPh sb="32" eb="34">
      <t>シコウ</t>
    </rPh>
    <rPh sb="34" eb="36">
      <t>サクゴ</t>
    </rPh>
    <rPh sb="37" eb="38">
      <t>モト</t>
    </rPh>
    <rPh sb="43" eb="45">
      <t>ホカン</t>
    </rPh>
    <rPh sb="45" eb="46">
      <t>ホウ</t>
    </rPh>
    <phoneticPr fontId="3"/>
  </si>
  <si>
    <t xml:space="preserve">  診断士試験ではこれは問われないので、エクセルを使って結論だけイメージできればOK。</t>
    <rPh sb="2" eb="5">
      <t>シンダンシ</t>
    </rPh>
    <rPh sb="5" eb="7">
      <t>シケン</t>
    </rPh>
    <rPh sb="12" eb="13">
      <t>ト</t>
    </rPh>
    <rPh sb="25" eb="26">
      <t>ツカ</t>
    </rPh>
    <rPh sb="28" eb="30">
      <t>ケツロン</t>
    </rPh>
    <phoneticPr fontId="3"/>
  </si>
  <si>
    <t>・当問は、NPVとIRRの基本を教えるため、①CIFを予め与え、②割引計算 ③合計してNPVに集中して練習できる。タイムテーブルの描き方は、1回決めれば全問題に共通して使えるので。ぜひ当問までにマスターする。</t>
    <rPh sb="1" eb="2">
      <t>トウ</t>
    </rPh>
    <rPh sb="2" eb="3">
      <t>モン</t>
    </rPh>
    <rPh sb="13" eb="15">
      <t>キホン</t>
    </rPh>
    <rPh sb="16" eb="17">
      <t>オシ</t>
    </rPh>
    <rPh sb="27" eb="28">
      <t>アラカジ</t>
    </rPh>
    <rPh sb="29" eb="30">
      <t>アタ</t>
    </rPh>
    <rPh sb="33" eb="35">
      <t>ワリビキ</t>
    </rPh>
    <rPh sb="35" eb="37">
      <t>ケイサン</t>
    </rPh>
    <rPh sb="39" eb="41">
      <t>ゴウケイ</t>
    </rPh>
    <rPh sb="47" eb="49">
      <t>シュウチュウ</t>
    </rPh>
    <rPh sb="51" eb="53">
      <t>レンシュウ</t>
    </rPh>
    <rPh sb="65" eb="66">
      <t>カ</t>
    </rPh>
    <rPh sb="67" eb="68">
      <t>カタ</t>
    </rPh>
    <rPh sb="71" eb="72">
      <t>カイ</t>
    </rPh>
    <rPh sb="72" eb="73">
      <t>キ</t>
    </rPh>
    <rPh sb="76" eb="77">
      <t>ゼン</t>
    </rPh>
    <rPh sb="77" eb="79">
      <t>モンダイ</t>
    </rPh>
    <rPh sb="80" eb="82">
      <t>キョウツウ</t>
    </rPh>
    <rPh sb="84" eb="85">
      <t>ツカ</t>
    </rPh>
    <rPh sb="92" eb="93">
      <t>トウ</t>
    </rPh>
    <rPh sb="93" eb="94">
      <t>モン</t>
    </rPh>
    <phoneticPr fontId="3"/>
  </si>
  <si>
    <t>・簿記1級では、IRRを手計算させる出題がある。診断士試験では、電卓を使えない｢1次｣でIRRの計算問題を出題できないため、｢2次｣でもIRRの計算はなく、理論問題しか出せない。そこで関数を使い結果だけ知っておく。</t>
    <rPh sb="1" eb="3">
      <t>ボキ</t>
    </rPh>
    <rPh sb="4" eb="5">
      <t>キュウ</t>
    </rPh>
    <rPh sb="12" eb="13">
      <t>テ</t>
    </rPh>
    <rPh sb="13" eb="15">
      <t>ケイサン</t>
    </rPh>
    <rPh sb="18" eb="20">
      <t>シュツダイ</t>
    </rPh>
    <rPh sb="24" eb="27">
      <t>シンダンシ</t>
    </rPh>
    <rPh sb="27" eb="29">
      <t>シケン</t>
    </rPh>
    <rPh sb="32" eb="34">
      <t>デンタク</t>
    </rPh>
    <rPh sb="35" eb="36">
      <t>ツカ</t>
    </rPh>
    <rPh sb="39" eb="43">
      <t>１ジ</t>
    </rPh>
    <rPh sb="48" eb="50">
      <t>ケイサン</t>
    </rPh>
    <rPh sb="50" eb="52">
      <t>モンダイ</t>
    </rPh>
    <rPh sb="53" eb="55">
      <t>シュツダイ</t>
    </rPh>
    <rPh sb="62" eb="66">
      <t>２ジ</t>
    </rPh>
    <rPh sb="72" eb="74">
      <t>ケイサン</t>
    </rPh>
    <rPh sb="78" eb="80">
      <t>リロン</t>
    </rPh>
    <rPh sb="80" eb="82">
      <t>モンダイ</t>
    </rPh>
    <rPh sb="84" eb="85">
      <t>ダ</t>
    </rPh>
    <rPh sb="92" eb="94">
      <t>カンスウ</t>
    </rPh>
    <rPh sb="95" eb="96">
      <t>ツカ</t>
    </rPh>
    <rPh sb="97" eb="99">
      <t>ケッカ</t>
    </rPh>
    <rPh sb="101" eb="102">
      <t>シ</t>
    </rPh>
    <phoneticPr fontId="3"/>
  </si>
  <si>
    <t>減価償却費の計算</t>
    <rPh sb="0" eb="2">
      <t>ゲンカ</t>
    </rPh>
    <rPh sb="2" eb="4">
      <t>ショウキャク</t>
    </rPh>
    <rPh sb="4" eb="5">
      <t>ヒ</t>
    </rPh>
    <rPh sb="6" eb="8">
      <t>ケイサン</t>
    </rPh>
    <phoneticPr fontId="3"/>
  </si>
  <si>
    <t>取得原価</t>
    <rPh sb="0" eb="2">
      <t>シュトク</t>
    </rPh>
    <rPh sb="2" eb="4">
      <t>ゲンカ</t>
    </rPh>
    <phoneticPr fontId="3"/>
  </si>
  <si>
    <t>残存価額</t>
    <rPh sb="0" eb="2">
      <t>ザンゾン</t>
    </rPh>
    <rPh sb="2" eb="4">
      <t>カガク</t>
    </rPh>
    <phoneticPr fontId="3"/>
  </si>
  <si>
    <t>償却年数</t>
    <rPh sb="0" eb="2">
      <t>ショウキャク</t>
    </rPh>
    <rPh sb="2" eb="4">
      <t>ネンスウ</t>
    </rPh>
    <phoneticPr fontId="3"/>
  </si>
  <si>
    <t>減価償却費/年</t>
    <rPh sb="0" eb="2">
      <t>ゲンカ</t>
    </rPh>
    <rPh sb="2" eb="4">
      <t>ショウキャク</t>
    </rPh>
    <rPh sb="4" eb="5">
      <t>ヒ</t>
    </rPh>
    <rPh sb="6" eb="7">
      <t>ネン</t>
    </rPh>
    <phoneticPr fontId="3"/>
  </si>
  <si>
    <r>
      <rPr>
        <b/>
        <sz val="10"/>
        <color theme="1"/>
        <rFont val="游ゴシック"/>
        <family val="3"/>
        <charset val="128"/>
        <scheme val="minor"/>
      </rPr>
      <t>税引後CIFBOX</t>
    </r>
    <r>
      <rPr>
        <sz val="10"/>
        <color theme="1"/>
        <rFont val="游ゴシック"/>
        <family val="3"/>
        <charset val="128"/>
        <scheme val="minor"/>
      </rPr>
      <t xml:space="preserve"> ←ここの描き方パターンを覚えることがポイント</t>
    </r>
    <rPh sb="0" eb="2">
      <t>ゼイビキ</t>
    </rPh>
    <rPh sb="2" eb="3">
      <t>ゴ</t>
    </rPh>
    <rPh sb="14" eb="15">
      <t>カ</t>
    </rPh>
    <rPh sb="16" eb="17">
      <t>カタ</t>
    </rPh>
    <rPh sb="22" eb="23">
      <t>オボ</t>
    </rPh>
    <phoneticPr fontId="3"/>
  </si>
  <si>
    <t>COF</t>
    <phoneticPr fontId="3"/>
  </si>
  <si>
    <t>その他支出</t>
    <rPh sb="2" eb="3">
      <t>タ</t>
    </rPh>
    <rPh sb="3" eb="5">
      <t>シシュツ</t>
    </rPh>
    <phoneticPr fontId="3"/>
  </si>
  <si>
    <t>人件費節約額</t>
    <rPh sb="0" eb="3">
      <t>ジンケンヒ</t>
    </rPh>
    <rPh sb="3" eb="5">
      <t>セツヤク</t>
    </rPh>
    <rPh sb="5" eb="6">
      <t>ガク</t>
    </rPh>
    <phoneticPr fontId="3"/>
  </si>
  <si>
    <t>減価償却費</t>
    <rPh sb="0" eb="2">
      <t>ゲンカ</t>
    </rPh>
    <rPh sb="2" eb="4">
      <t>ショウキャク</t>
    </rPh>
    <rPh sb="4" eb="5">
      <t>ヒ</t>
    </rPh>
    <phoneticPr fontId="3"/>
  </si>
  <si>
    <t>利益(税なし)</t>
    <rPh sb="0" eb="2">
      <t>リエキ</t>
    </rPh>
    <rPh sb="3" eb="4">
      <t>ゼイ</t>
    </rPh>
    <phoneticPr fontId="3"/>
  </si>
  <si>
    <t>NPV=0になるように、いつもと逆の順で求めていく</t>
    <rPh sb="16" eb="17">
      <t>ギャク</t>
    </rPh>
    <rPh sb="18" eb="19">
      <t>ジュン</t>
    </rPh>
    <rPh sb="20" eb="21">
      <t>モト</t>
    </rPh>
    <phoneticPr fontId="3"/>
  </si>
  <si>
    <t>NPV・・①</t>
    <phoneticPr fontId="3"/>
  </si>
  <si>
    <t>→</t>
    <phoneticPr fontId="3"/>
  </si>
  <si>
    <t>←税引後CIF</t>
    <rPh sb="1" eb="3">
      <t>ゼイビ</t>
    </rPh>
    <rPh sb="3" eb="4">
      <t>ゴ</t>
    </rPh>
    <phoneticPr fontId="3"/>
  </si>
  <si>
    <t>・当問は、②割引計算に加え、①BOXを使い税引後CIFを求める、③合計してNPVを求めるのでなく、NPV＝0になるようにCIFを求める、の2点が加わる。</t>
    <rPh sb="1" eb="2">
      <t>トウ</t>
    </rPh>
    <rPh sb="2" eb="3">
      <t>モン</t>
    </rPh>
    <rPh sb="6" eb="8">
      <t>ワリビキ</t>
    </rPh>
    <rPh sb="8" eb="10">
      <t>ケイサン</t>
    </rPh>
    <rPh sb="11" eb="12">
      <t>クワ</t>
    </rPh>
    <rPh sb="33" eb="35">
      <t>ゴウケイ</t>
    </rPh>
    <rPh sb="41" eb="42">
      <t>モト</t>
    </rPh>
    <rPh sb="64" eb="65">
      <t>モト</t>
    </rPh>
    <rPh sb="70" eb="71">
      <t>テン</t>
    </rPh>
    <rPh sb="72" eb="73">
      <t>クワ</t>
    </rPh>
    <phoneticPr fontId="3"/>
  </si>
  <si>
    <t>・税引後CIFBOXの作り方はテキストP.77 にあるが、これだけでは十分でない。とりあえず他の問題も一通り解き、その後解き直して正解できることが目標。</t>
    <rPh sb="1" eb="3">
      <t>ゼイビキ</t>
    </rPh>
    <rPh sb="3" eb="4">
      <t>ゴ</t>
    </rPh>
    <rPh sb="11" eb="12">
      <t>ツク</t>
    </rPh>
    <rPh sb="13" eb="14">
      <t>カタ</t>
    </rPh>
    <rPh sb="35" eb="37">
      <t>ジュウブン</t>
    </rPh>
    <rPh sb="46" eb="47">
      <t>タ</t>
    </rPh>
    <rPh sb="48" eb="50">
      <t>モンダイ</t>
    </rPh>
    <rPh sb="51" eb="53">
      <t>ヒトトオ</t>
    </rPh>
    <rPh sb="54" eb="55">
      <t>ト</t>
    </rPh>
    <rPh sb="59" eb="60">
      <t>アト</t>
    </rPh>
    <rPh sb="60" eb="61">
      <t>ト</t>
    </rPh>
    <rPh sb="62" eb="63">
      <t>ナオ</t>
    </rPh>
    <rPh sb="65" eb="67">
      <t>セイカイ</t>
    </rPh>
    <rPh sb="73" eb="75">
      <t>モクヒョウ</t>
    </rPh>
    <phoneticPr fontId="3"/>
  </si>
  <si>
    <t>単純回収期間法</t>
    <rPh sb="0" eb="2">
      <t>タンジュン</t>
    </rPh>
    <rPh sb="2" eb="4">
      <t>カイシュウ</t>
    </rPh>
    <rPh sb="4" eb="6">
      <t>キカン</t>
    </rPh>
    <rPh sb="6" eb="7">
      <t>ホウ</t>
    </rPh>
    <phoneticPr fontId="3"/>
  </si>
  <si>
    <t>年</t>
    <rPh sb="0" eb="1">
      <t>ネン</t>
    </rPh>
    <phoneticPr fontId="3"/>
  </si>
  <si>
    <t>・単純回収期間法は、テキストP.73 参照</t>
    <rPh sb="1" eb="3">
      <t>タンジュン</t>
    </rPh>
    <rPh sb="3" eb="5">
      <t>カイシュウ</t>
    </rPh>
    <rPh sb="5" eb="7">
      <t>キカン</t>
    </rPh>
    <rPh sb="7" eb="8">
      <t>ホウ</t>
    </rPh>
    <rPh sb="19" eb="21">
      <t>サンショウ</t>
    </rPh>
    <phoneticPr fontId="3"/>
  </si>
  <si>
    <t>単純投下資本利益率法</t>
    <rPh sb="0" eb="2">
      <t>タンジュン</t>
    </rPh>
    <rPh sb="2" eb="4">
      <t>トウカ</t>
    </rPh>
    <rPh sb="4" eb="6">
      <t>シホン</t>
    </rPh>
    <rPh sb="6" eb="8">
      <t>リエキ</t>
    </rPh>
    <rPh sb="8" eb="9">
      <t>リツ</t>
    </rPh>
    <rPh sb="9" eb="10">
      <t>ホウ</t>
    </rPh>
    <phoneticPr fontId="3"/>
  </si>
  <si>
    <t>・単純投下資本利益率法は、テキストP.74 。当試験で問われた覚えがないので、｢1次｣過去問5年以内に出題がないことを確認したら、覚えなくて良い。</t>
    <rPh sb="1" eb="3">
      <t>タンジュン</t>
    </rPh>
    <rPh sb="3" eb="5">
      <t>トウカ</t>
    </rPh>
    <rPh sb="5" eb="7">
      <t>シホン</t>
    </rPh>
    <rPh sb="7" eb="9">
      <t>リエキ</t>
    </rPh>
    <rPh sb="9" eb="10">
      <t>リツ</t>
    </rPh>
    <rPh sb="10" eb="11">
      <t>ホウ</t>
    </rPh>
    <rPh sb="23" eb="24">
      <t>トウ</t>
    </rPh>
    <rPh sb="24" eb="26">
      <t>シケン</t>
    </rPh>
    <rPh sb="27" eb="28">
      <t>ト</t>
    </rPh>
    <rPh sb="31" eb="32">
      <t>オボ</t>
    </rPh>
    <rPh sb="39" eb="43">
      <t>１ジ</t>
    </rPh>
    <rPh sb="43" eb="46">
      <t>カコモン</t>
    </rPh>
    <rPh sb="47" eb="48">
      <t>ネン</t>
    </rPh>
    <rPh sb="48" eb="50">
      <t>イナイ</t>
    </rPh>
    <rPh sb="51" eb="53">
      <t>シュツダイ</t>
    </rPh>
    <rPh sb="59" eb="61">
      <t>カクニン</t>
    </rPh>
    <rPh sb="65" eb="66">
      <t>オボ</t>
    </rPh>
    <rPh sb="70" eb="71">
      <t>ヨ</t>
    </rPh>
    <phoneticPr fontId="3"/>
  </si>
  <si>
    <t>現金支出</t>
    <rPh sb="0" eb="2">
      <t>ゲンキン</t>
    </rPh>
    <rPh sb="2" eb="4">
      <t>シシュツ</t>
    </rPh>
    <phoneticPr fontId="3"/>
  </si>
  <si>
    <t>建物</t>
    <rPh sb="0" eb="2">
      <t>タテモノ</t>
    </rPh>
    <phoneticPr fontId="3"/>
  </si>
  <si>
    <t>設備</t>
    <rPh sb="0" eb="2">
      <t>セツビ</t>
    </rPh>
    <phoneticPr fontId="3"/>
  </si>
  <si>
    <t>税引前利益</t>
    <rPh sb="0" eb="2">
      <t>ゼイビキ</t>
    </rPh>
    <rPh sb="2" eb="3">
      <t>マエ</t>
    </rPh>
    <rPh sb="3" eb="5">
      <t>リエキ</t>
    </rPh>
    <phoneticPr fontId="3"/>
  </si>
  <si>
    <t>うち税金</t>
    <rPh sb="2" eb="4">
      <t>ゼイキン</t>
    </rPh>
    <phoneticPr fontId="3"/>
  </si>
  <si>
    <t>税引後利益</t>
    <rPh sb="0" eb="2">
      <t>ゼイビキ</t>
    </rPh>
    <rPh sb="2" eb="3">
      <t>ゴ</t>
    </rPh>
    <rPh sb="3" eb="5">
      <t>リエキ</t>
    </rPh>
    <phoneticPr fontId="3"/>
  </si>
  <si>
    <t>税引後CIF</t>
    <rPh sb="0" eb="2">
      <t>ゼイビキ</t>
    </rPh>
    <rPh sb="2" eb="3">
      <t>ゴ</t>
    </rPh>
    <phoneticPr fontId="3"/>
  </si>
  <si>
    <t>運転資本の増加</t>
    <rPh sb="0" eb="2">
      <t>ウンテン</t>
    </rPh>
    <rPh sb="2" eb="4">
      <t>シホン</t>
    </rPh>
    <rPh sb="5" eb="7">
      <t>ゾウカ</t>
    </rPh>
    <phoneticPr fontId="3"/>
  </si>
  <si>
    <t>Y0で発生し、Y5で回収する</t>
    <rPh sb="3" eb="5">
      <t>ハッセイ</t>
    </rPh>
    <rPh sb="10" eb="12">
      <t>カイシュウ</t>
    </rPh>
    <phoneticPr fontId="3"/>
  </si>
  <si>
    <t>Y0</t>
  </si>
  <si>
    <t>Y1</t>
  </si>
  <si>
    <t>Y2</t>
  </si>
  <si>
    <t>Y3</t>
  </si>
  <si>
    <t>Y4</t>
  </si>
  <si>
    <t>Y5</t>
  </si>
  <si>
    <t>売掛金</t>
    <rPh sb="0" eb="2">
      <t>ウリカケ</t>
    </rPh>
    <rPh sb="2" eb="3">
      <t>キン</t>
    </rPh>
    <phoneticPr fontId="3"/>
  </si>
  <si>
    <t>棚卸資産</t>
    <rPh sb="0" eb="2">
      <t>タナオロシ</t>
    </rPh>
    <rPh sb="2" eb="4">
      <t>シサン</t>
    </rPh>
    <phoneticPr fontId="3"/>
  </si>
  <si>
    <t>買掛金</t>
    <rPh sb="0" eb="3">
      <t>カイカケキン</t>
    </rPh>
    <phoneticPr fontId="3"/>
  </si>
  <si>
    <t>投資終了時の売却収入・売却益・課税の影響</t>
    <rPh sb="0" eb="2">
      <t>トウシ</t>
    </rPh>
    <rPh sb="2" eb="5">
      <t>シュウリョウジ</t>
    </rPh>
    <rPh sb="6" eb="8">
      <t>バイキャク</t>
    </rPh>
    <rPh sb="8" eb="10">
      <t>シュウニュウ</t>
    </rPh>
    <rPh sb="11" eb="13">
      <t>バイキャク</t>
    </rPh>
    <rPh sb="13" eb="14">
      <t>エキ</t>
    </rPh>
    <rPh sb="15" eb="17">
      <t>カゼイ</t>
    </rPh>
    <rPh sb="18" eb="20">
      <t>エイキョウ</t>
    </rPh>
    <phoneticPr fontId="3"/>
  </si>
  <si>
    <t>土地</t>
    <rPh sb="0" eb="2">
      <t>トチ</t>
    </rPh>
    <phoneticPr fontId="3"/>
  </si>
  <si>
    <t>売却時簿価</t>
    <rPh sb="0" eb="2">
      <t>バイキャク</t>
    </rPh>
    <rPh sb="2" eb="3">
      <t>ジ</t>
    </rPh>
    <rPh sb="3" eb="5">
      <t>ボカ</t>
    </rPh>
    <phoneticPr fontId="3"/>
  </si>
  <si>
    <t>売却収入</t>
    <rPh sb="0" eb="2">
      <t>バイキャク</t>
    </rPh>
    <rPh sb="2" eb="4">
      <t>シュウニュウ</t>
    </rPh>
    <phoneticPr fontId="3"/>
  </si>
  <si>
    <t>売却損益</t>
    <rPh sb="0" eb="2">
      <t>バイキャク</t>
    </rPh>
    <rPh sb="2" eb="4">
      <t>ソンエキ</t>
    </rPh>
    <phoneticPr fontId="3"/>
  </si>
  <si>
    <t>タックスシールド</t>
    <phoneticPr fontId="3"/>
  </si>
  <si>
    <t>←ここも期末キャッシュインへ</t>
    <rPh sb="4" eb="6">
      <t>キマツ</t>
    </rPh>
    <phoneticPr fontId="3"/>
  </si>
  <si>
    <t>←ここが期末キャッシュインへ</t>
    <rPh sb="4" eb="6">
      <t>キマツ</t>
    </rPh>
    <phoneticPr fontId="3"/>
  </si>
  <si>
    <t>運転資本の増減は、キャッシュの出入りを伴うため、FCFに含めて時間価値の計算の考慮に入れる。</t>
    <rPh sb="0" eb="2">
      <t>ウンテン</t>
    </rPh>
    <rPh sb="2" eb="4">
      <t>シホン</t>
    </rPh>
    <rPh sb="5" eb="7">
      <t>ゾウゲン</t>
    </rPh>
    <rPh sb="15" eb="17">
      <t>デハイ</t>
    </rPh>
    <rPh sb="19" eb="20">
      <t>トモナ</t>
    </rPh>
    <rPh sb="28" eb="29">
      <t>フク</t>
    </rPh>
    <rPh sb="31" eb="33">
      <t>ジカン</t>
    </rPh>
    <rPh sb="33" eb="35">
      <t>カチ</t>
    </rPh>
    <rPh sb="36" eb="38">
      <t>ケイサン</t>
    </rPh>
    <rPh sb="39" eb="41">
      <t>コウリョ</t>
    </rPh>
    <rPh sb="42" eb="43">
      <t>イ</t>
    </rPh>
    <phoneticPr fontId="3"/>
  </si>
  <si>
    <t>これはFCF、NPV計算に当然必要な前提であり、これを見て｢｣CF計算書の問題とごっちゃにしてあわあわしないこと。</t>
    <rPh sb="10" eb="12">
      <t>ケイサン</t>
    </rPh>
    <rPh sb="13" eb="15">
      <t>トウゼン</t>
    </rPh>
    <rPh sb="15" eb="17">
      <t>ヒツヨウ</t>
    </rPh>
    <rPh sb="18" eb="20">
      <t>ゼンテイ</t>
    </rPh>
    <rPh sb="27" eb="28">
      <t>ミ</t>
    </rPh>
    <rPh sb="33" eb="36">
      <t>ケイサンショ</t>
    </rPh>
    <rPh sb="37" eb="39">
      <t>モンダイ</t>
    </rPh>
    <phoneticPr fontId="3"/>
  </si>
  <si>
    <t>①毎年のCIF</t>
    <rPh sb="1" eb="3">
      <t>マイトシ</t>
    </rPh>
    <phoneticPr fontId="3"/>
  </si>
  <si>
    <t>NPV</t>
    <phoneticPr fontId="3"/>
  </si>
  <si>
    <t>定額法</t>
    <rPh sb="0" eb="2">
      <t>テイガク</t>
    </rPh>
    <rPh sb="2" eb="3">
      <t>ホウ</t>
    </rPh>
    <phoneticPr fontId="3"/>
  </si>
  <si>
    <t>定率法</t>
    <rPh sb="0" eb="3">
      <t>テイリツホウ</t>
    </rPh>
    <phoneticPr fontId="3"/>
  </si>
  <si>
    <t>↓定率法で減価償却すると、</t>
    <rPh sb="1" eb="4">
      <t>テイリツホウ</t>
    </rPh>
    <rPh sb="5" eb="7">
      <t>ゲンカ</t>
    </rPh>
    <rPh sb="7" eb="9">
      <t>ショウキャク</t>
    </rPh>
    <phoneticPr fontId="3"/>
  </si>
  <si>
    <t>売上収入</t>
    <rPh sb="0" eb="2">
      <t>ウリアゲ</t>
    </rPh>
    <rPh sb="2" eb="4">
      <t>シュウニュウ</t>
    </rPh>
    <phoneticPr fontId="3"/>
  </si>
  <si>
    <t>旧タイプ：減価償却費を毎期一定とし、BOXに入れる形</t>
    <rPh sb="0" eb="1">
      <t>キュウ</t>
    </rPh>
    <rPh sb="5" eb="7">
      <t>ゲンカ</t>
    </rPh>
    <rPh sb="7" eb="9">
      <t>ショウキャク</t>
    </rPh>
    <rPh sb="9" eb="10">
      <t>ヒ</t>
    </rPh>
    <rPh sb="11" eb="13">
      <t>マイキ</t>
    </rPh>
    <rPh sb="13" eb="15">
      <t>イッテイ</t>
    </rPh>
    <rPh sb="22" eb="23">
      <t>イ</t>
    </rPh>
    <rPh sb="25" eb="26">
      <t>カタチ</t>
    </rPh>
    <phoneticPr fontId="3"/>
  </si>
  <si>
    <t>新タイプ：減価償却費が定率法で変動するため、外出しするタイプ</t>
    <rPh sb="0" eb="1">
      <t>シン</t>
    </rPh>
    <rPh sb="5" eb="7">
      <t>ゲンカ</t>
    </rPh>
    <rPh sb="7" eb="9">
      <t>ショウキャク</t>
    </rPh>
    <rPh sb="9" eb="10">
      <t>ヒ</t>
    </rPh>
    <rPh sb="11" eb="14">
      <t>テイリツホウ</t>
    </rPh>
    <rPh sb="15" eb="17">
      <t>ヘンドウ</t>
    </rPh>
    <rPh sb="22" eb="23">
      <t>ソト</t>
    </rPh>
    <rPh sb="23" eb="24">
      <t>ダ</t>
    </rPh>
    <phoneticPr fontId="3"/>
  </si>
  <si>
    <t>税引後純CIF</t>
    <rPh sb="0" eb="2">
      <t>ゼイビキ</t>
    </rPh>
    <rPh sb="2" eb="3">
      <t>ゴ</t>
    </rPh>
    <rPh sb="3" eb="4">
      <t>ジュン</t>
    </rPh>
    <phoneticPr fontId="3"/>
  </si>
  <si>
    <t>減価償却費のTS</t>
    <rPh sb="0" eb="2">
      <t>ゲンカ</t>
    </rPh>
    <rPh sb="2" eb="4">
      <t>ショウキャク</t>
    </rPh>
    <rPh sb="4" eb="5">
      <t>ヒ</t>
    </rPh>
    <phoneticPr fontId="3"/>
  </si>
  <si>
    <t>純CIF課税額</t>
    <rPh sb="0" eb="1">
      <t>ジュン</t>
    </rPh>
    <rPh sb="4" eb="7">
      <t>カゼイガク</t>
    </rPh>
    <phoneticPr fontId="3"/>
  </si>
  <si>
    <t>-X</t>
    <phoneticPr fontId="3"/>
  </si>
  <si>
    <t>X←外出しで変動。</t>
    <rPh sb="2" eb="3">
      <t>ソト</t>
    </rPh>
    <rPh sb="3" eb="4">
      <t>ダ</t>
    </rPh>
    <rPh sb="6" eb="8">
      <t>ヘンドウ</t>
    </rPh>
    <phoneticPr fontId="3"/>
  </si>
  <si>
    <t>定率法で別途TSのみ計算</t>
    <rPh sb="0" eb="3">
      <t>テイリツホウ</t>
    </rPh>
    <rPh sb="4" eb="6">
      <t>ベット</t>
    </rPh>
    <rPh sb="10" eb="12">
      <t>ケイサン</t>
    </rPh>
    <phoneticPr fontId="3"/>
  </si>
  <si>
    <t>②減価償却費TS・建物</t>
    <rPh sb="1" eb="3">
      <t>ゲンカ</t>
    </rPh>
    <rPh sb="3" eb="5">
      <t>ショウキャク</t>
    </rPh>
    <rPh sb="5" eb="6">
      <t>ヒ</t>
    </rPh>
    <rPh sb="9" eb="11">
      <t>タテモノ</t>
    </rPh>
    <phoneticPr fontId="3"/>
  </si>
  <si>
    <t>③運転資本の増減</t>
    <rPh sb="1" eb="3">
      <t>ウンテン</t>
    </rPh>
    <rPh sb="3" eb="5">
      <t>シホン</t>
    </rPh>
    <rPh sb="6" eb="8">
      <t>ゾウゲン</t>
    </rPh>
    <phoneticPr fontId="3"/>
  </si>
  <si>
    <t>④期末資産の売却収入</t>
    <rPh sb="1" eb="3">
      <t>キマツ</t>
    </rPh>
    <rPh sb="3" eb="5">
      <t>シサン</t>
    </rPh>
    <rPh sb="6" eb="8">
      <t>バイキャク</t>
    </rPh>
    <rPh sb="8" eb="10">
      <t>シュウニュウ</t>
    </rPh>
    <phoneticPr fontId="3"/>
  </si>
  <si>
    <t>②’減価償却費TS・設備</t>
    <rPh sb="2" eb="4">
      <t>ゲンカ</t>
    </rPh>
    <rPh sb="4" eb="6">
      <t>ショウキャク</t>
    </rPh>
    <rPh sb="6" eb="7">
      <t>ヒ</t>
    </rPh>
    <rPh sb="10" eb="12">
      <t>セツビ</t>
    </rPh>
    <phoneticPr fontId="3"/>
  </si>
  <si>
    <t>定率法償却率</t>
    <rPh sb="0" eb="3">
      <t>テイリツホウ</t>
    </rPh>
    <rPh sb="3" eb="6">
      <t>ショウキャクリツ</t>
    </rPh>
    <phoneticPr fontId="3"/>
  </si>
  <si>
    <t>参考：設備の定率法減価償却計算用・減価償却後の期末簿価</t>
    <rPh sb="0" eb="2">
      <t>サンコウ</t>
    </rPh>
    <rPh sb="3" eb="5">
      <t>セツビ</t>
    </rPh>
    <rPh sb="6" eb="9">
      <t>テイリツホウ</t>
    </rPh>
    <rPh sb="9" eb="11">
      <t>ゲンカ</t>
    </rPh>
    <rPh sb="11" eb="13">
      <t>ショウキャク</t>
    </rPh>
    <rPh sb="13" eb="15">
      <t>ケイサン</t>
    </rPh>
    <rPh sb="15" eb="16">
      <t>ヨウ</t>
    </rPh>
    <rPh sb="17" eb="19">
      <t>ゲンカ</t>
    </rPh>
    <rPh sb="19" eb="21">
      <t>ショウキャク</t>
    </rPh>
    <rPh sb="21" eb="22">
      <t>ゴ</t>
    </rPh>
    <rPh sb="23" eb="25">
      <t>キマツ</t>
    </rPh>
    <rPh sb="25" eb="27">
      <t>ボカ</t>
    </rPh>
    <phoneticPr fontId="3"/>
  </si>
  <si>
    <t>①～④計</t>
    <rPh sb="3" eb="4">
      <t>ケイ</t>
    </rPh>
    <phoneticPr fontId="3"/>
  </si>
  <si>
    <t>IRR</t>
    <phoneticPr fontId="3"/>
  </si>
  <si>
    <t>・当問は、NPV計算において、簿記1級らしく特に減価償却費、売却収入、運転資本増減などの組み合わせ論点に力を置いた問題。定率法を採用すると減価償却費が毎期変動するため、税引後CIFの作り方が昔と変わるので注意。</t>
    <rPh sb="1" eb="2">
      <t>トウ</t>
    </rPh>
    <rPh sb="2" eb="3">
      <t>モン</t>
    </rPh>
    <rPh sb="8" eb="10">
      <t>ケイサン</t>
    </rPh>
    <rPh sb="15" eb="17">
      <t>ボキ</t>
    </rPh>
    <rPh sb="18" eb="19">
      <t>キュウ</t>
    </rPh>
    <rPh sb="22" eb="23">
      <t>トク</t>
    </rPh>
    <rPh sb="24" eb="26">
      <t>ゲンカ</t>
    </rPh>
    <rPh sb="26" eb="28">
      <t>ショウキャク</t>
    </rPh>
    <rPh sb="28" eb="29">
      <t>ヒ</t>
    </rPh>
    <rPh sb="30" eb="32">
      <t>バイキャク</t>
    </rPh>
    <rPh sb="32" eb="34">
      <t>シュウニュウ</t>
    </rPh>
    <rPh sb="35" eb="37">
      <t>ウンテン</t>
    </rPh>
    <rPh sb="37" eb="39">
      <t>シホン</t>
    </rPh>
    <rPh sb="39" eb="41">
      <t>ゾウゲン</t>
    </rPh>
    <rPh sb="44" eb="45">
      <t>ク</t>
    </rPh>
    <rPh sb="46" eb="47">
      <t>ア</t>
    </rPh>
    <rPh sb="49" eb="51">
      <t>ロンテン</t>
    </rPh>
    <rPh sb="52" eb="53">
      <t>チカラ</t>
    </rPh>
    <rPh sb="54" eb="55">
      <t>オ</t>
    </rPh>
    <rPh sb="57" eb="59">
      <t>モンダイ</t>
    </rPh>
    <rPh sb="60" eb="62">
      <t>テイリツ</t>
    </rPh>
    <rPh sb="62" eb="63">
      <t>ホウ</t>
    </rPh>
    <rPh sb="64" eb="66">
      <t>サイヨウ</t>
    </rPh>
    <rPh sb="69" eb="71">
      <t>ゲンカ</t>
    </rPh>
    <rPh sb="71" eb="73">
      <t>ショウキャク</t>
    </rPh>
    <rPh sb="73" eb="74">
      <t>ヒ</t>
    </rPh>
    <rPh sb="75" eb="77">
      <t>マイキ</t>
    </rPh>
    <rPh sb="77" eb="79">
      <t>ヘンドウ</t>
    </rPh>
    <rPh sb="84" eb="86">
      <t>ゼイビキ</t>
    </rPh>
    <rPh sb="86" eb="87">
      <t>ゴ</t>
    </rPh>
    <rPh sb="91" eb="92">
      <t>ツク</t>
    </rPh>
    <rPh sb="93" eb="94">
      <t>カタ</t>
    </rPh>
    <rPh sb="95" eb="96">
      <t>ムカシ</t>
    </rPh>
    <rPh sb="97" eb="98">
      <t>カ</t>
    </rPh>
    <rPh sb="102" eb="104">
      <t>チュウイ</t>
    </rPh>
    <phoneticPr fontId="3"/>
  </si>
  <si>
    <t>・定率法で減価償却費が毎期変動する場合、当問解説の様に毎期のCIFを計算し、5年まとめて年金現価でなく複利減価を使い1年ずつ計算する。診断士ではそこまで問われにくいので、いちいち手計算せずエクセルで答えがあえばOK。</t>
    <rPh sb="1" eb="4">
      <t>テイリツホウ</t>
    </rPh>
    <rPh sb="5" eb="7">
      <t>ゲンカ</t>
    </rPh>
    <rPh sb="7" eb="9">
      <t>ショウキャク</t>
    </rPh>
    <rPh sb="9" eb="10">
      <t>ヒ</t>
    </rPh>
    <rPh sb="11" eb="13">
      <t>マイキ</t>
    </rPh>
    <rPh sb="13" eb="15">
      <t>ヘンドウ</t>
    </rPh>
    <rPh sb="17" eb="19">
      <t>バアイ</t>
    </rPh>
    <rPh sb="20" eb="21">
      <t>トウ</t>
    </rPh>
    <rPh sb="21" eb="22">
      <t>モン</t>
    </rPh>
    <rPh sb="22" eb="24">
      <t>カイセツ</t>
    </rPh>
    <rPh sb="25" eb="26">
      <t>ヨウ</t>
    </rPh>
    <rPh sb="27" eb="29">
      <t>マイキ</t>
    </rPh>
    <rPh sb="34" eb="36">
      <t>ケイサン</t>
    </rPh>
    <rPh sb="39" eb="40">
      <t>ネン</t>
    </rPh>
    <rPh sb="44" eb="46">
      <t>ネンキン</t>
    </rPh>
    <rPh sb="46" eb="48">
      <t>ゲンカ</t>
    </rPh>
    <rPh sb="51" eb="53">
      <t>フクリ</t>
    </rPh>
    <rPh sb="53" eb="55">
      <t>ゲンカ</t>
    </rPh>
    <rPh sb="56" eb="57">
      <t>ツカ</t>
    </rPh>
    <rPh sb="59" eb="60">
      <t>ネン</t>
    </rPh>
    <rPh sb="62" eb="64">
      <t>ケイサン</t>
    </rPh>
    <rPh sb="67" eb="70">
      <t>シンダンシ</t>
    </rPh>
    <rPh sb="76" eb="77">
      <t>ト</t>
    </rPh>
    <rPh sb="89" eb="90">
      <t>テ</t>
    </rPh>
    <rPh sb="90" eb="92">
      <t>ケイサン</t>
    </rPh>
    <rPh sb="99" eb="100">
      <t>コタ</t>
    </rPh>
    <phoneticPr fontId="3"/>
  </si>
  <si>
    <r>
      <rPr>
        <b/>
        <sz val="10"/>
        <color theme="1"/>
        <rFont val="游ゴシック"/>
        <family val="3"/>
        <charset val="128"/>
        <scheme val="minor"/>
      </rPr>
      <t>税引後CIFBOX</t>
    </r>
    <r>
      <rPr>
        <sz val="10"/>
        <color theme="1"/>
        <rFont val="游ゴシック"/>
        <family val="3"/>
        <charset val="128"/>
        <scheme val="minor"/>
      </rPr>
      <t xml:space="preserve"> ←当問も定率法なので、旧来の税引後CIFは使えないパターン</t>
    </r>
    <rPh sb="0" eb="2">
      <t>ゼイビキ</t>
    </rPh>
    <rPh sb="2" eb="3">
      <t>ゴ</t>
    </rPh>
    <rPh sb="11" eb="12">
      <t>トウ</t>
    </rPh>
    <rPh sb="12" eb="13">
      <t>モン</t>
    </rPh>
    <rPh sb="14" eb="16">
      <t>テイリツ</t>
    </rPh>
    <rPh sb="16" eb="17">
      <t>ホウ</t>
    </rPh>
    <rPh sb="21" eb="23">
      <t>キュウライ</t>
    </rPh>
    <rPh sb="24" eb="26">
      <t>ゼイビキ</t>
    </rPh>
    <rPh sb="26" eb="27">
      <t>ゴ</t>
    </rPh>
    <rPh sb="31" eb="32">
      <t>ツカ</t>
    </rPh>
    <phoneticPr fontId="3"/>
  </si>
  <si>
    <t>毎期変動</t>
    <rPh sb="0" eb="2">
      <t>マイキ</t>
    </rPh>
    <rPh sb="2" eb="4">
      <t>ヘンドウ</t>
    </rPh>
    <phoneticPr fontId="3"/>
  </si>
  <si>
    <t>差額の×0.6</t>
    <rPh sb="0" eb="2">
      <t>サガク</t>
    </rPh>
    <phoneticPr fontId="3"/>
  </si>
  <si>
    <t>差額の×0.4</t>
    <rPh sb="0" eb="2">
      <t>サガク</t>
    </rPh>
    <phoneticPr fontId="3"/>
  </si>
  <si>
    <t>WACCの計算</t>
    <rPh sb="5" eb="7">
      <t>ケイサン</t>
    </rPh>
    <phoneticPr fontId="3"/>
  </si>
  <si>
    <t>長期借入金</t>
    <rPh sb="0" eb="2">
      <t>チョウキ</t>
    </rPh>
    <rPh sb="2" eb="4">
      <t>カリイレ</t>
    </rPh>
    <rPh sb="4" eb="5">
      <t>キン</t>
    </rPh>
    <phoneticPr fontId="3"/>
  </si>
  <si>
    <t>内部留保</t>
    <rPh sb="0" eb="2">
      <t>ナイブ</t>
    </rPh>
    <rPh sb="2" eb="4">
      <t>リュウホ</t>
    </rPh>
    <phoneticPr fontId="3"/>
  </si>
  <si>
    <t>問１</t>
    <rPh sb="0" eb="1">
      <t>ト</t>
    </rPh>
    <phoneticPr fontId="3"/>
  </si>
  <si>
    <t>WACC・・資本コストの加重平均で求める。</t>
    <rPh sb="6" eb="8">
      <t>シホン</t>
    </rPh>
    <rPh sb="12" eb="14">
      <t>カジュウ</t>
    </rPh>
    <rPh sb="14" eb="16">
      <t>ヘイキン</t>
    </rPh>
    <rPh sb="17" eb="18">
      <t>モト</t>
    </rPh>
    <phoneticPr fontId="3"/>
  </si>
  <si>
    <t>計算用：売上収入の変動</t>
    <rPh sb="0" eb="3">
      <t>ケイサンヨウ</t>
    </rPh>
    <rPh sb="4" eb="6">
      <t>ウリアゲ</t>
    </rPh>
    <rPh sb="6" eb="8">
      <t>シュウニュウ</t>
    </rPh>
    <rPh sb="9" eb="11">
      <t>ヘンドウ</t>
    </rPh>
    <phoneticPr fontId="3"/>
  </si>
  <si>
    <t>①a売上収入</t>
    <rPh sb="2" eb="4">
      <t>ウリアゲ</t>
    </rPh>
    <rPh sb="4" eb="6">
      <t>シュウニュウ</t>
    </rPh>
    <phoneticPr fontId="3"/>
  </si>
  <si>
    <t>①b現金支出変動費</t>
    <rPh sb="2" eb="4">
      <t>ゲンキン</t>
    </rPh>
    <rPh sb="4" eb="6">
      <t>シシュツ</t>
    </rPh>
    <rPh sb="6" eb="8">
      <t>ヘンドウ</t>
    </rPh>
    <rPh sb="8" eb="9">
      <t>ヒ</t>
    </rPh>
    <phoneticPr fontId="3"/>
  </si>
  <si>
    <t>計算用：予想売上高による運転資本の計算</t>
    <rPh sb="0" eb="3">
      <t>ケイサンヨウ</t>
    </rPh>
    <rPh sb="4" eb="6">
      <t>ヨソウ</t>
    </rPh>
    <rPh sb="6" eb="8">
      <t>ウリアゲ</t>
    </rPh>
    <rPh sb="8" eb="9">
      <t>ダカ</t>
    </rPh>
    <rPh sb="12" eb="14">
      <t>ウンテン</t>
    </rPh>
    <rPh sb="14" eb="16">
      <t>シホン</t>
    </rPh>
    <rPh sb="17" eb="19">
      <t>ケイサン</t>
    </rPh>
    <phoneticPr fontId="3"/>
  </si>
  <si>
    <t>運転資本計</t>
    <rPh sb="0" eb="2">
      <t>ウンテン</t>
    </rPh>
    <rPh sb="2" eb="4">
      <t>シホン</t>
    </rPh>
    <rPh sb="4" eb="5">
      <t>ケイ</t>
    </rPh>
    <phoneticPr fontId="3"/>
  </si>
  <si>
    <t>期末CFに影響する変動額</t>
    <rPh sb="0" eb="2">
      <t>キマツ</t>
    </rPh>
    <rPh sb="5" eb="7">
      <t>エイキョウ</t>
    </rPh>
    <rPh sb="9" eb="11">
      <t>ヘンドウ</t>
    </rPh>
    <rPh sb="11" eb="12">
      <t>ガク</t>
    </rPh>
    <phoneticPr fontId="3"/>
  </si>
  <si>
    <t>減価償却費の累計</t>
    <rPh sb="0" eb="2">
      <t>ゲンカ</t>
    </rPh>
    <rPh sb="2" eb="4">
      <t>ショウキャク</t>
    </rPh>
    <rPh sb="4" eb="5">
      <t>ヒ</t>
    </rPh>
    <rPh sb="6" eb="8">
      <t>ルイケイ</t>
    </rPh>
    <phoneticPr fontId="3"/>
  </si>
  <si>
    <t>20X0</t>
  </si>
  <si>
    <t>20X0</t>
    <phoneticPr fontId="3"/>
  </si>
  <si>
    <t>20X1</t>
  </si>
  <si>
    <t>20X1</t>
    <phoneticPr fontId="3"/>
  </si>
  <si>
    <t>20X2</t>
  </si>
  <si>
    <t>20X2</t>
    <phoneticPr fontId="3"/>
  </si>
  <si>
    <t>20X3</t>
  </si>
  <si>
    <t>20X3</t>
    <phoneticPr fontId="3"/>
  </si>
  <si>
    <t>20X4</t>
  </si>
  <si>
    <t>20X4</t>
    <phoneticPr fontId="3"/>
  </si>
  <si>
    <t>合計</t>
    <rPh sb="0" eb="2">
      <t>ゴウケイ</t>
    </rPh>
    <phoneticPr fontId="3"/>
  </si>
  <si>
    <t>20X2年度の税引後CIF</t>
    <rPh sb="4" eb="6">
      <t>ネンド</t>
    </rPh>
    <rPh sb="7" eb="9">
      <t>ゼイビキ</t>
    </rPh>
    <rPh sb="9" eb="10">
      <t>ゴ</t>
    </rPh>
    <phoneticPr fontId="3"/>
  </si>
  <si>
    <t>①c現金支出固定費</t>
    <rPh sb="2" eb="4">
      <t>ゲンキン</t>
    </rPh>
    <rPh sb="4" eb="6">
      <t>シシュツ</t>
    </rPh>
    <rPh sb="6" eb="9">
      <t>コテイヒ</t>
    </rPh>
    <phoneticPr fontId="3"/>
  </si>
  <si>
    <t>①a～c計(税引後)</t>
    <rPh sb="4" eb="5">
      <t>ケイ</t>
    </rPh>
    <rPh sb="6" eb="8">
      <t>ゼイビキ</t>
    </rPh>
    <rPh sb="8" eb="9">
      <t>ゴ</t>
    </rPh>
    <phoneticPr fontId="3"/>
  </si>
  <si>
    <t>問4</t>
    <rPh sb="0" eb="1">
      <t>ト</t>
    </rPh>
    <phoneticPr fontId="3"/>
  </si>
  <si>
    <t>投資終了時の正味回収額</t>
    <rPh sb="0" eb="2">
      <t>トウシ</t>
    </rPh>
    <rPh sb="2" eb="5">
      <t>シュウリョウジ</t>
    </rPh>
    <rPh sb="6" eb="8">
      <t>ショウミ</t>
    </rPh>
    <rPh sb="8" eb="10">
      <t>カイシュウ</t>
    </rPh>
    <rPh sb="10" eb="11">
      <t>ガク</t>
    </rPh>
    <phoneticPr fontId="3"/>
  </si>
  <si>
    <t>問5</t>
    <rPh sb="0" eb="1">
      <t>ト</t>
    </rPh>
    <phoneticPr fontId="3"/>
  </si>
  <si>
    <t>NPVの計算</t>
    <rPh sb="4" eb="6">
      <t>ケイサン</t>
    </rPh>
    <phoneticPr fontId="3"/>
  </si>
  <si>
    <t>NPVが</t>
    <phoneticPr fontId="3"/>
  </si>
  <si>
    <t>となり、不利である。</t>
    <rPh sb="4" eb="6">
      <t>フリ</t>
    </rPh>
    <phoneticPr fontId="3"/>
  </si>
  <si>
    <t>問6</t>
    <rPh sb="0" eb="1">
      <t>ト</t>
    </rPh>
    <phoneticPr fontId="3"/>
  </si>
  <si>
    <t>IRRの計算</t>
    <rPh sb="4" eb="6">
      <t>ケイサン</t>
    </rPh>
    <phoneticPr fontId="3"/>
  </si>
  <si>
    <t>計算用：設備の定率法減価償却計算用・減価償却後の期末簿価</t>
    <rPh sb="0" eb="3">
      <t>ケイサンヨウ</t>
    </rPh>
    <rPh sb="4" eb="6">
      <t>セツビ</t>
    </rPh>
    <rPh sb="7" eb="10">
      <t>テイリツホウ</t>
    </rPh>
    <rPh sb="10" eb="12">
      <t>ゲンカ</t>
    </rPh>
    <rPh sb="12" eb="14">
      <t>ショウキャク</t>
    </rPh>
    <rPh sb="14" eb="16">
      <t>ケイサン</t>
    </rPh>
    <rPh sb="16" eb="17">
      <t>ヨウ</t>
    </rPh>
    <rPh sb="18" eb="20">
      <t>ゲンカ</t>
    </rPh>
    <rPh sb="20" eb="22">
      <t>ショウキャク</t>
    </rPh>
    <rPh sb="22" eb="23">
      <t>ゴ</t>
    </rPh>
    <rPh sb="24" eb="26">
      <t>キマツ</t>
    </rPh>
    <rPh sb="26" eb="28">
      <t>ボカ</t>
    </rPh>
    <phoneticPr fontId="3"/>
  </si>
  <si>
    <t>・当問はNPV計算の総合問題において、組み合わせて出題できる論点を教える形を取る。具体的には以下4点を計算させるが、それぞれ独特に難しく作ってある。</t>
    <rPh sb="1" eb="2">
      <t>トウ</t>
    </rPh>
    <rPh sb="2" eb="3">
      <t>モン</t>
    </rPh>
    <rPh sb="7" eb="9">
      <t>ケイサン</t>
    </rPh>
    <rPh sb="10" eb="12">
      <t>ソウゴウ</t>
    </rPh>
    <rPh sb="12" eb="14">
      <t>モンダイ</t>
    </rPh>
    <rPh sb="19" eb="20">
      <t>ク</t>
    </rPh>
    <rPh sb="21" eb="22">
      <t>ア</t>
    </rPh>
    <rPh sb="25" eb="27">
      <t>シュツダイ</t>
    </rPh>
    <rPh sb="30" eb="32">
      <t>ロンテン</t>
    </rPh>
    <rPh sb="33" eb="34">
      <t>オシ</t>
    </rPh>
    <rPh sb="36" eb="37">
      <t>カタチ</t>
    </rPh>
    <rPh sb="38" eb="39">
      <t>ト</t>
    </rPh>
    <rPh sb="41" eb="44">
      <t>グタイテキ</t>
    </rPh>
    <rPh sb="46" eb="48">
      <t>イカ</t>
    </rPh>
    <rPh sb="49" eb="50">
      <t>テン</t>
    </rPh>
    <rPh sb="51" eb="53">
      <t>ケイサン</t>
    </rPh>
    <rPh sb="62" eb="64">
      <t>ドクトク</t>
    </rPh>
    <rPh sb="65" eb="66">
      <t>ムズカ</t>
    </rPh>
    <rPh sb="68" eb="69">
      <t>ツク</t>
    </rPh>
    <phoneticPr fontId="3"/>
  </si>
  <si>
    <t>①税引後CIF(テキストP.78)  ・・売上高・販売単価が変動し、毎年のCIFが変動する。このほかにも例えば変動費率を変えるなど、いくらでも難しく作れる。</t>
    <rPh sb="1" eb="3">
      <t>ゼイビ</t>
    </rPh>
    <rPh sb="3" eb="4">
      <t>ゴ</t>
    </rPh>
    <rPh sb="21" eb="23">
      <t>ウリアゲ</t>
    </rPh>
    <rPh sb="23" eb="24">
      <t>ダカ</t>
    </rPh>
    <rPh sb="25" eb="27">
      <t>ハンバイ</t>
    </rPh>
    <rPh sb="27" eb="29">
      <t>タンカ</t>
    </rPh>
    <rPh sb="30" eb="32">
      <t>ヘンドウ</t>
    </rPh>
    <rPh sb="34" eb="36">
      <t>マイトシ</t>
    </rPh>
    <rPh sb="41" eb="43">
      <t>ヘンドウ</t>
    </rPh>
    <rPh sb="52" eb="53">
      <t>タト</t>
    </rPh>
    <rPh sb="55" eb="57">
      <t>ヘンドウ</t>
    </rPh>
    <rPh sb="57" eb="58">
      <t>ヒ</t>
    </rPh>
    <rPh sb="58" eb="59">
      <t>リツ</t>
    </rPh>
    <rPh sb="60" eb="61">
      <t>カ</t>
    </rPh>
    <rPh sb="71" eb="72">
      <t>ムズカ</t>
    </rPh>
    <rPh sb="74" eb="75">
      <t>ツク</t>
    </rPh>
    <phoneticPr fontId="3"/>
  </si>
  <si>
    <t>②減価償却費のTS(テキストP.79)・・定率法になると、計算が大変煩雑。診断士試験での出題は当面ないと考えて良い。</t>
    <rPh sb="1" eb="3">
      <t>ゲンカ</t>
    </rPh>
    <rPh sb="3" eb="5">
      <t>ショウキャク</t>
    </rPh>
    <rPh sb="5" eb="6">
      <t>ヒ</t>
    </rPh>
    <rPh sb="21" eb="23">
      <t>テイリツ</t>
    </rPh>
    <rPh sb="23" eb="24">
      <t>ホウ</t>
    </rPh>
    <rPh sb="29" eb="31">
      <t>ケイサン</t>
    </rPh>
    <rPh sb="32" eb="34">
      <t>タイヘン</t>
    </rPh>
    <rPh sb="34" eb="36">
      <t>ハンザツ</t>
    </rPh>
    <rPh sb="37" eb="40">
      <t>シンダンシ</t>
    </rPh>
    <rPh sb="40" eb="42">
      <t>シケン</t>
    </rPh>
    <rPh sb="44" eb="46">
      <t>シュツダイ</t>
    </rPh>
    <rPh sb="47" eb="49">
      <t>トウメン</t>
    </rPh>
    <rPh sb="52" eb="53">
      <t>カンガ</t>
    </rPh>
    <rPh sb="55" eb="56">
      <t>ヨ</t>
    </rPh>
    <phoneticPr fontId="3"/>
  </si>
  <si>
    <t>③正味運転資本の増減(テキストP.89)・・いわゆる｢資金繰り｣の世界では、正味運転資本が毎年変動し、CIFに影響することがある。診断士試験では｢資金繰り｣を扱わないので、ここはスルーしてOK。</t>
    <rPh sb="1" eb="3">
      <t>ショウミ</t>
    </rPh>
    <rPh sb="3" eb="5">
      <t>ウンテン</t>
    </rPh>
    <rPh sb="5" eb="7">
      <t>シホン</t>
    </rPh>
    <rPh sb="8" eb="10">
      <t>ゾウゲン</t>
    </rPh>
    <rPh sb="27" eb="29">
      <t>シキン</t>
    </rPh>
    <rPh sb="29" eb="30">
      <t>グ</t>
    </rPh>
    <rPh sb="33" eb="35">
      <t>セカイ</t>
    </rPh>
    <rPh sb="38" eb="40">
      <t>ショウミ</t>
    </rPh>
    <rPh sb="40" eb="42">
      <t>ウンテン</t>
    </rPh>
    <rPh sb="42" eb="44">
      <t>シホン</t>
    </rPh>
    <rPh sb="45" eb="47">
      <t>マイトシ</t>
    </rPh>
    <rPh sb="47" eb="49">
      <t>ヘンドウ</t>
    </rPh>
    <rPh sb="55" eb="57">
      <t>エイキョウ</t>
    </rPh>
    <rPh sb="65" eb="68">
      <t>シンダンシ</t>
    </rPh>
    <rPh sb="68" eb="70">
      <t>シケン</t>
    </rPh>
    <rPh sb="73" eb="75">
      <t>シキン</t>
    </rPh>
    <rPh sb="75" eb="76">
      <t>グ</t>
    </rPh>
    <rPh sb="79" eb="80">
      <t>アツカ</t>
    </rPh>
    <phoneticPr fontId="3"/>
  </si>
  <si>
    <t>④期末固定資産の売却収入(テキストP.94 )・・ここは｢事例Ⅳ｣でも出題範囲。売却収入と、税引後の売却損益をCIFに加える。理屈の説明は難しく、解き方を覚えても捻られて解きにくい。慣れれば点差になるので頑張って。</t>
    <rPh sb="1" eb="3">
      <t>キマツ</t>
    </rPh>
    <rPh sb="3" eb="5">
      <t>コテイ</t>
    </rPh>
    <rPh sb="5" eb="7">
      <t>シサン</t>
    </rPh>
    <rPh sb="8" eb="10">
      <t>バイキャク</t>
    </rPh>
    <rPh sb="10" eb="12">
      <t>シュウニュウ</t>
    </rPh>
    <rPh sb="29" eb="31">
      <t>ジレイ</t>
    </rPh>
    <rPh sb="35" eb="37">
      <t>シュツダイ</t>
    </rPh>
    <rPh sb="37" eb="39">
      <t>ハンイ</t>
    </rPh>
    <rPh sb="40" eb="42">
      <t>バイキャク</t>
    </rPh>
    <rPh sb="42" eb="44">
      <t>シュウニュウ</t>
    </rPh>
    <rPh sb="46" eb="48">
      <t>ゼイビキ</t>
    </rPh>
    <rPh sb="48" eb="49">
      <t>ゴ</t>
    </rPh>
    <rPh sb="50" eb="52">
      <t>バイキャク</t>
    </rPh>
    <rPh sb="52" eb="54">
      <t>ソンエキ</t>
    </rPh>
    <rPh sb="59" eb="60">
      <t>クワ</t>
    </rPh>
    <rPh sb="63" eb="65">
      <t>リクツ</t>
    </rPh>
    <rPh sb="66" eb="68">
      <t>セツメイ</t>
    </rPh>
    <rPh sb="69" eb="70">
      <t>ムズカ</t>
    </rPh>
    <rPh sb="73" eb="74">
      <t>ト</t>
    </rPh>
    <rPh sb="75" eb="76">
      <t>カタ</t>
    </rPh>
    <rPh sb="77" eb="78">
      <t>オボ</t>
    </rPh>
    <rPh sb="81" eb="82">
      <t>ヒネ</t>
    </rPh>
    <rPh sb="85" eb="86">
      <t>ト</t>
    </rPh>
    <rPh sb="91" eb="92">
      <t>ナ</t>
    </rPh>
    <rPh sb="95" eb="97">
      <t>テンサ</t>
    </rPh>
    <rPh sb="102" eb="104">
      <t>ガンバ</t>
    </rPh>
    <phoneticPr fontId="3"/>
  </si>
  <si>
    <t>・以上、当問を手計算で当てるのはまず無理と言えるほど、難しい。ただ｢事例Ⅳ｣でこれ以上難しいNPVを出すと誰も解けないので、①～④それぞれ計算パターンを自分なりにつかんでおくと、確実な点差を取れる。</t>
    <rPh sb="1" eb="3">
      <t>イジョウ</t>
    </rPh>
    <rPh sb="4" eb="5">
      <t>トウ</t>
    </rPh>
    <rPh sb="5" eb="6">
      <t>モン</t>
    </rPh>
    <rPh sb="7" eb="8">
      <t>テ</t>
    </rPh>
    <rPh sb="8" eb="10">
      <t>ケイサン</t>
    </rPh>
    <rPh sb="11" eb="12">
      <t>ア</t>
    </rPh>
    <rPh sb="18" eb="20">
      <t>ムリ</t>
    </rPh>
    <rPh sb="21" eb="22">
      <t>イ</t>
    </rPh>
    <rPh sb="27" eb="28">
      <t>ムズカ</t>
    </rPh>
    <rPh sb="34" eb="36">
      <t>ジレイ</t>
    </rPh>
    <rPh sb="41" eb="43">
      <t>イジョウ</t>
    </rPh>
    <rPh sb="43" eb="44">
      <t>ムズカ</t>
    </rPh>
    <rPh sb="50" eb="51">
      <t>ダ</t>
    </rPh>
    <rPh sb="53" eb="54">
      <t>ダレ</t>
    </rPh>
    <rPh sb="55" eb="56">
      <t>ト</t>
    </rPh>
    <rPh sb="69" eb="71">
      <t>ケイサン</t>
    </rPh>
    <rPh sb="76" eb="78">
      <t>ジブン</t>
    </rPh>
    <rPh sb="89" eb="91">
      <t>カクジツ</t>
    </rPh>
    <rPh sb="92" eb="94">
      <t>テンサ</t>
    </rPh>
    <rPh sb="95" eb="96">
      <t>ト</t>
    </rPh>
    <phoneticPr fontId="3"/>
  </si>
  <si>
    <t>←○定額法は出る</t>
    <rPh sb="2" eb="4">
      <t>テイガク</t>
    </rPh>
    <rPh sb="4" eb="5">
      <t>ホウ</t>
    </rPh>
    <rPh sb="6" eb="7">
      <t>デ</t>
    </rPh>
    <phoneticPr fontId="3"/>
  </si>
  <si>
    <t>←○この程度は出る</t>
    <rPh sb="4" eb="6">
      <t>テイド</t>
    </rPh>
    <rPh sb="7" eb="8">
      <t>デ</t>
    </rPh>
    <phoneticPr fontId="3"/>
  </si>
  <si>
    <t>←×定率法は出ない</t>
    <rPh sb="2" eb="4">
      <t>テイリツ</t>
    </rPh>
    <rPh sb="4" eb="5">
      <t>ホウ</t>
    </rPh>
    <rPh sb="6" eb="7">
      <t>デ</t>
    </rPh>
    <phoneticPr fontId="3"/>
  </si>
  <si>
    <t>←×資金繰り(運転資本の毎期変動)は出ない</t>
    <rPh sb="2" eb="4">
      <t>シキン</t>
    </rPh>
    <rPh sb="4" eb="5">
      <t>グ</t>
    </rPh>
    <rPh sb="7" eb="9">
      <t>ウンテン</t>
    </rPh>
    <rPh sb="9" eb="11">
      <t>シホン</t>
    </rPh>
    <rPh sb="12" eb="14">
      <t>マイキ</t>
    </rPh>
    <rPh sb="14" eb="16">
      <t>ヘンドウ</t>
    </rPh>
    <rPh sb="18" eb="19">
      <t>デ</t>
    </rPh>
    <phoneticPr fontId="3"/>
  </si>
  <si>
    <t>←○期末売却収入は出る</t>
    <rPh sb="2" eb="4">
      <t>キマツ</t>
    </rPh>
    <rPh sb="4" eb="6">
      <t>バイキャク</t>
    </rPh>
    <rPh sb="6" eb="8">
      <t>シュウニュウ</t>
    </rPh>
    <rPh sb="9" eb="10">
      <t>デ</t>
    </rPh>
    <phoneticPr fontId="3"/>
  </si>
  <si>
    <t>問題⑭</t>
    <rPh sb="0" eb="2">
      <t>モンダイ</t>
    </rPh>
    <phoneticPr fontId="3"/>
  </si>
  <si>
    <t>・取替投資の問題は、①旧機械の減価償却と売却収入 ②新機械の購入・減価償却・売却がまず柱。ただこれだけではNPV&lt;0になるので必ず③何らかのコストダウン効果が加わる。①～③のパターンを掴むと、条件を読み取って計算するだけ。</t>
    <rPh sb="1" eb="3">
      <t>トリカエ</t>
    </rPh>
    <rPh sb="3" eb="5">
      <t>トウシ</t>
    </rPh>
    <rPh sb="6" eb="8">
      <t>モンダイ</t>
    </rPh>
    <rPh sb="11" eb="12">
      <t>キュウ</t>
    </rPh>
    <rPh sb="12" eb="14">
      <t>キカイ</t>
    </rPh>
    <rPh sb="15" eb="17">
      <t>ゲンカ</t>
    </rPh>
    <rPh sb="17" eb="19">
      <t>ショウキャク</t>
    </rPh>
    <rPh sb="20" eb="22">
      <t>バイキャク</t>
    </rPh>
    <rPh sb="22" eb="24">
      <t>シュウニュウ</t>
    </rPh>
    <phoneticPr fontId="3"/>
  </si>
  <si>
    <t>旧機械の減価償却</t>
    <rPh sb="0" eb="1">
      <t>キュウ</t>
    </rPh>
    <rPh sb="1" eb="3">
      <t>キカイ</t>
    </rPh>
    <rPh sb="4" eb="6">
      <t>ゲンカ</t>
    </rPh>
    <rPh sb="6" eb="8">
      <t>ショウキャク</t>
    </rPh>
    <phoneticPr fontId="3"/>
  </si>
  <si>
    <t>Y2</t>
    <phoneticPr fontId="3"/>
  </si>
  <si>
    <t>Y1</t>
    <phoneticPr fontId="3"/>
  </si>
  <si>
    <t>Y6</t>
  </si>
  <si>
    <t>Y7</t>
  </si>
  <si>
    <t>Y8</t>
  </si>
  <si>
    <t>Y9</t>
  </si>
  <si>
    <t>Y10</t>
  </si>
  <si>
    <t>取得価額・簿価</t>
    <rPh sb="0" eb="2">
      <t>シュトク</t>
    </rPh>
    <rPh sb="2" eb="4">
      <t>カガク</t>
    </rPh>
    <rPh sb="5" eb="7">
      <t>ボカ</t>
    </rPh>
    <phoneticPr fontId="3"/>
  </si>
  <si>
    <t>Y0</t>
    <phoneticPr fontId="3"/>
  </si>
  <si>
    <t>売却損</t>
    <rPh sb="0" eb="3">
      <t>バイキャクソン</t>
    </rPh>
    <phoneticPr fontId="3"/>
  </si>
  <si>
    <t>売却損TS</t>
    <rPh sb="0" eb="3">
      <t>バイキャクソン</t>
    </rPh>
    <phoneticPr fontId="3"/>
  </si>
  <si>
    <t>新機械の購入と減価償却</t>
    <rPh sb="0" eb="1">
      <t>シン</t>
    </rPh>
    <rPh sb="1" eb="3">
      <t>キカイ</t>
    </rPh>
    <rPh sb="4" eb="6">
      <t>コウニュウ</t>
    </rPh>
    <rPh sb="7" eb="9">
      <t>ゲンカ</t>
    </rPh>
    <rPh sb="9" eb="11">
      <t>ショウキャク</t>
    </rPh>
    <phoneticPr fontId="3"/>
  </si>
  <si>
    <t>売却益</t>
    <rPh sb="0" eb="3">
      <t>バイキャクエキ</t>
    </rPh>
    <phoneticPr fontId="3"/>
  </si>
  <si>
    <t>売却益TS</t>
    <rPh sb="0" eb="2">
      <t>バイキャク</t>
    </rPh>
    <rPh sb="2" eb="3">
      <t>エキ</t>
    </rPh>
    <phoneticPr fontId="3"/>
  </si>
  <si>
    <t>年金現価係数</t>
    <rPh sb="0" eb="2">
      <t>ネンキン</t>
    </rPh>
    <rPh sb="2" eb="4">
      <t>ゲンカ</t>
    </rPh>
    <rPh sb="4" eb="6">
      <t>ケイスウ</t>
    </rPh>
    <phoneticPr fontId="3"/>
  </si>
  <si>
    <t>・・問１</t>
    <rPh sb="2" eb="3">
      <t>トイ</t>
    </rPh>
    <phoneticPr fontId="3"/>
  </si>
  <si>
    <t>旧機械売却</t>
    <rPh sb="0" eb="1">
      <t>キュウ</t>
    </rPh>
    <rPh sb="1" eb="3">
      <t>キカイ</t>
    </rPh>
    <rPh sb="3" eb="5">
      <t>バイキャク</t>
    </rPh>
    <phoneticPr fontId="3"/>
  </si>
  <si>
    <t>新機械購入</t>
    <rPh sb="0" eb="1">
      <t>シン</t>
    </rPh>
    <rPh sb="1" eb="3">
      <t>キカイ</t>
    </rPh>
    <rPh sb="3" eb="5">
      <t>コウニュウ</t>
    </rPh>
    <phoneticPr fontId="3"/>
  </si>
  <si>
    <t>減価償却費TS</t>
    <rPh sb="0" eb="2">
      <t>ゲンカ</t>
    </rPh>
    <rPh sb="2" eb="4">
      <t>ショウキャク</t>
    </rPh>
    <rPh sb="4" eb="5">
      <t>ヒ</t>
    </rPh>
    <phoneticPr fontId="3"/>
  </si>
  <si>
    <t>新機械売却</t>
    <rPh sb="0" eb="1">
      <t>シン</t>
    </rPh>
    <rPh sb="1" eb="3">
      <t>キカイ</t>
    </rPh>
    <rPh sb="3" eb="5">
      <t>バイキャク</t>
    </rPh>
    <phoneticPr fontId="3"/>
  </si>
  <si>
    <t>税引後CIF計</t>
    <rPh sb="0" eb="2">
      <t>ゼイビキ</t>
    </rPh>
    <rPh sb="2" eb="3">
      <t>ゴ</t>
    </rPh>
    <rPh sb="6" eb="7">
      <t>ケイ</t>
    </rPh>
    <phoneticPr fontId="3"/>
  </si>
  <si>
    <t>問2 NPVの計算(法人税考慮なし)</t>
    <rPh sb="0" eb="1">
      <t>ト</t>
    </rPh>
    <rPh sb="7" eb="9">
      <t>ケイサン</t>
    </rPh>
    <rPh sb="10" eb="13">
      <t>ホウジンゼイ</t>
    </rPh>
    <rPh sb="13" eb="15">
      <t>コウリョ</t>
    </rPh>
    <phoneticPr fontId="3"/>
  </si>
  <si>
    <t>現金支出費用</t>
    <rPh sb="0" eb="2">
      <t>ゲンキン</t>
    </rPh>
    <rPh sb="2" eb="4">
      <t>シシュツ</t>
    </rPh>
    <rPh sb="4" eb="6">
      <t>ヒヨウ</t>
    </rPh>
    <phoneticPr fontId="3"/>
  </si>
  <si>
    <t>問3 NPVの計算(法人税考慮する)</t>
    <rPh sb="0" eb="1">
      <t>ト</t>
    </rPh>
    <rPh sb="7" eb="9">
      <t>ケイサン</t>
    </rPh>
    <rPh sb="10" eb="13">
      <t>ホウジンゼイ</t>
    </rPh>
    <rPh sb="13" eb="15">
      <t>コウリョ</t>
    </rPh>
    <phoneticPr fontId="3"/>
  </si>
  <si>
    <t>問4 感度分析(旧機械を使用しつづける場合)</t>
    <rPh sb="0" eb="1">
      <t>ト</t>
    </rPh>
    <rPh sb="3" eb="5">
      <t>カンド</t>
    </rPh>
    <rPh sb="5" eb="7">
      <t>ブンセキ</t>
    </rPh>
    <rPh sb="8" eb="9">
      <t>キュウ</t>
    </rPh>
    <rPh sb="9" eb="11">
      <t>キカイ</t>
    </rPh>
    <rPh sb="12" eb="14">
      <t>シヨウ</t>
    </rPh>
    <rPh sb="19" eb="21">
      <t>バアイ</t>
    </rPh>
    <phoneticPr fontId="3"/>
  </si>
  <si>
    <t>←問４で使う</t>
    <rPh sb="1" eb="2">
      <t>トイ</t>
    </rPh>
    <rPh sb="4" eb="5">
      <t>ツカ</t>
    </rPh>
    <phoneticPr fontId="3"/>
  </si>
  <si>
    <t>問5 新旧機械でどちらが｢損｣かの比較</t>
    <rPh sb="0" eb="1">
      <t>ト</t>
    </rPh>
    <rPh sb="3" eb="5">
      <t>シンキュウ</t>
    </rPh>
    <rPh sb="5" eb="7">
      <t>キカイ</t>
    </rPh>
    <rPh sb="13" eb="14">
      <t>ソン</t>
    </rPh>
    <rPh sb="17" eb="19">
      <t>ヒカク</t>
    </rPh>
    <phoneticPr fontId="3"/>
  </si>
  <si>
    <t>新機械の方が</t>
    <rPh sb="0" eb="1">
      <t>シン</t>
    </rPh>
    <rPh sb="1" eb="3">
      <t>キカイ</t>
    </rPh>
    <rPh sb="4" eb="5">
      <t>ホウ</t>
    </rPh>
    <phoneticPr fontId="3"/>
  </si>
  <si>
    <t>万円有利となる。</t>
    <rPh sb="0" eb="2">
      <t>マンエン</t>
    </rPh>
    <rPh sb="2" eb="4">
      <t>ユウリ</t>
    </rPh>
    <phoneticPr fontId="3"/>
  </si>
  <si>
    <t>問6 総額法についての説明</t>
    <rPh sb="0" eb="1">
      <t>ト</t>
    </rPh>
    <rPh sb="3" eb="5">
      <t>ソウガク</t>
    </rPh>
    <rPh sb="5" eb="6">
      <t>ホウ</t>
    </rPh>
    <rPh sb="11" eb="13">
      <t>セツメイ</t>
    </rPh>
    <phoneticPr fontId="3"/>
  </si>
  <si>
    <t>解答省略</t>
    <rPh sb="0" eb="2">
      <t>カイトウ</t>
    </rPh>
    <rPh sb="2" eb="4">
      <t>ショウリャク</t>
    </rPh>
    <phoneticPr fontId="3"/>
  </si>
  <si>
    <t>・当問は差額原価でなく、総額法で計算させるパターン。｢事例Ⅳ｣でこの解き方が問われることは考えにくく、｢こういう解き方もある｣とだけ知っておけば十分。</t>
    <rPh sb="1" eb="2">
      <t>トウ</t>
    </rPh>
    <rPh sb="2" eb="3">
      <t>モン</t>
    </rPh>
    <rPh sb="4" eb="6">
      <t>サガク</t>
    </rPh>
    <rPh sb="6" eb="8">
      <t>ゲンカ</t>
    </rPh>
    <rPh sb="12" eb="14">
      <t>ソウガク</t>
    </rPh>
    <rPh sb="14" eb="15">
      <t>ホウ</t>
    </rPh>
    <rPh sb="16" eb="18">
      <t>ケイサン</t>
    </rPh>
    <rPh sb="27" eb="29">
      <t>ジレイ</t>
    </rPh>
    <rPh sb="34" eb="35">
      <t>ト</t>
    </rPh>
    <rPh sb="36" eb="37">
      <t>カタ</t>
    </rPh>
    <rPh sb="38" eb="39">
      <t>ト</t>
    </rPh>
    <rPh sb="45" eb="46">
      <t>カンガ</t>
    </rPh>
    <rPh sb="56" eb="57">
      <t>ト</t>
    </rPh>
    <rPh sb="58" eb="59">
      <t>カタ</t>
    </rPh>
    <rPh sb="66" eb="67">
      <t>シ</t>
    </rPh>
    <rPh sb="72" eb="74">
      <t>ジュウブン</t>
    </rPh>
    <phoneticPr fontId="3"/>
  </si>
  <si>
    <t>販売・手直し・クレーム数量の把握</t>
    <rPh sb="0" eb="2">
      <t>ハンバイ</t>
    </rPh>
    <rPh sb="3" eb="5">
      <t>テナオ</t>
    </rPh>
    <rPh sb="11" eb="13">
      <t>スウリョウ</t>
    </rPh>
    <rPh sb="14" eb="16">
      <t>ハアク</t>
    </rPh>
    <phoneticPr fontId="3"/>
  </si>
  <si>
    <t>甲案</t>
    <rPh sb="0" eb="1">
      <t>コウ</t>
    </rPh>
    <rPh sb="1" eb="2">
      <t>アン</t>
    </rPh>
    <phoneticPr fontId="3"/>
  </si>
  <si>
    <t>販売</t>
    <rPh sb="0" eb="2">
      <t>ハンバイ</t>
    </rPh>
    <phoneticPr fontId="3"/>
  </si>
  <si>
    <t>手直し数量</t>
    <rPh sb="0" eb="2">
      <t>テナオ</t>
    </rPh>
    <rPh sb="3" eb="5">
      <t>スウリョウ</t>
    </rPh>
    <phoneticPr fontId="3"/>
  </si>
  <si>
    <t>単価</t>
    <rPh sb="0" eb="2">
      <t>タンカ</t>
    </rPh>
    <phoneticPr fontId="3"/>
  </si>
  <si>
    <t>手直しコスト</t>
    <rPh sb="0" eb="2">
      <t>テナオ</t>
    </rPh>
    <phoneticPr fontId="3"/>
  </si>
  <si>
    <t>手直しコスト(万円)</t>
    <rPh sb="0" eb="2">
      <t>テナオ</t>
    </rPh>
    <rPh sb="7" eb="9">
      <t>マンエン</t>
    </rPh>
    <phoneticPr fontId="3"/>
  </si>
  <si>
    <t>個</t>
    <rPh sb="0" eb="1">
      <t>コ</t>
    </rPh>
    <phoneticPr fontId="3"/>
  </si>
  <si>
    <t>万円</t>
    <rPh sb="0" eb="2">
      <t>マンエン</t>
    </rPh>
    <phoneticPr fontId="3"/>
  </si>
  <si>
    <t>乙案</t>
    <rPh sb="0" eb="1">
      <t>オツ</t>
    </rPh>
    <rPh sb="1" eb="2">
      <t>アン</t>
    </rPh>
    <phoneticPr fontId="3"/>
  </si>
  <si>
    <t>クレーム数量</t>
    <rPh sb="4" eb="6">
      <t>スウリョウ</t>
    </rPh>
    <phoneticPr fontId="3"/>
  </si>
  <si>
    <t>クレームコスト</t>
    <phoneticPr fontId="3"/>
  </si>
  <si>
    <t>研修教育</t>
    <rPh sb="0" eb="2">
      <t>ケンシュウ</t>
    </rPh>
    <rPh sb="2" eb="4">
      <t>キョウイク</t>
    </rPh>
    <phoneticPr fontId="3"/>
  </si>
  <si>
    <t>旧設備売却＋新設備+検査機械導入</t>
    <rPh sb="0" eb="1">
      <t>キュウ</t>
    </rPh>
    <rPh sb="1" eb="3">
      <t>セツビ</t>
    </rPh>
    <rPh sb="3" eb="5">
      <t>バイキャク</t>
    </rPh>
    <rPh sb="6" eb="9">
      <t>シンセツビ</t>
    </rPh>
    <rPh sb="10" eb="12">
      <t>ケンサ</t>
    </rPh>
    <rPh sb="12" eb="14">
      <t>キカイ</t>
    </rPh>
    <rPh sb="14" eb="16">
      <t>ドウニュウ</t>
    </rPh>
    <phoneticPr fontId="3"/>
  </si>
  <si>
    <t>Y3</t>
    <phoneticPr fontId="3"/>
  </si>
  <si>
    <t>旧設備</t>
    <rPh sb="0" eb="1">
      <t>キュウ</t>
    </rPh>
    <rPh sb="1" eb="3">
      <t>セツビ</t>
    </rPh>
    <phoneticPr fontId="3"/>
  </si>
  <si>
    <t>新設備</t>
    <rPh sb="0" eb="3">
      <t>シンセツビ</t>
    </rPh>
    <phoneticPr fontId="3"/>
  </si>
  <si>
    <t>検査機械</t>
    <rPh sb="0" eb="2">
      <t>ケンサ</t>
    </rPh>
    <rPh sb="2" eb="4">
      <t>キカイ</t>
    </rPh>
    <phoneticPr fontId="3"/>
  </si>
  <si>
    <t>耐用年数</t>
    <rPh sb="0" eb="2">
      <t>タイヨウ</t>
    </rPh>
    <rPh sb="2" eb="4">
      <t>ネンスウ</t>
    </rPh>
    <phoneticPr fontId="3"/>
  </si>
  <si>
    <t>問2 法人税支払を考慮する毎年のCF</t>
    <rPh sb="0" eb="1">
      <t>ト</t>
    </rPh>
    <rPh sb="3" eb="6">
      <t>ホウジンゼイ</t>
    </rPh>
    <rPh sb="6" eb="8">
      <t>シハラ</t>
    </rPh>
    <rPh sb="9" eb="11">
      <t>コウリョ</t>
    </rPh>
    <rPh sb="13" eb="15">
      <t>マイトシ</t>
    </rPh>
    <phoneticPr fontId="3"/>
  </si>
  <si>
    <t>旧機械の売却</t>
    <rPh sb="0" eb="1">
      <t>キュウ</t>
    </rPh>
    <rPh sb="1" eb="3">
      <t>キカイ</t>
    </rPh>
    <rPh sb="4" eb="6">
      <t>バイキャク</t>
    </rPh>
    <phoneticPr fontId="3"/>
  </si>
  <si>
    <t>Y0で売却</t>
    <rPh sb="3" eb="5">
      <t>バイキャク</t>
    </rPh>
    <phoneticPr fontId="3"/>
  </si>
  <si>
    <t>TS</t>
    <phoneticPr fontId="3"/>
  </si>
  <si>
    <t>新機械の購入</t>
    <rPh sb="0" eb="1">
      <t>シン</t>
    </rPh>
    <rPh sb="1" eb="3">
      <t>キカイ</t>
    </rPh>
    <rPh sb="4" eb="6">
      <t>コウニュウ</t>
    </rPh>
    <phoneticPr fontId="3"/>
  </si>
  <si>
    <t>〃減価償却費TS</t>
    <rPh sb="1" eb="3">
      <t>ゲンカ</t>
    </rPh>
    <rPh sb="3" eb="5">
      <t>ショウキャク</t>
    </rPh>
    <rPh sb="5" eb="6">
      <t>ヒ</t>
    </rPh>
    <phoneticPr fontId="3"/>
  </si>
  <si>
    <t>新機械の売却</t>
    <rPh sb="0" eb="1">
      <t>シン</t>
    </rPh>
    <rPh sb="1" eb="3">
      <t>キカイ</t>
    </rPh>
    <rPh sb="4" eb="6">
      <t>バイキャク</t>
    </rPh>
    <phoneticPr fontId="3"/>
  </si>
  <si>
    <t>Y4で売却</t>
    <rPh sb="3" eb="5">
      <t>バイキャク</t>
    </rPh>
    <phoneticPr fontId="3"/>
  </si>
  <si>
    <t>検査機械の購入</t>
    <rPh sb="0" eb="2">
      <t>ケンサ</t>
    </rPh>
    <rPh sb="2" eb="4">
      <t>キカイ</t>
    </rPh>
    <rPh sb="5" eb="7">
      <t>コウニュウ</t>
    </rPh>
    <phoneticPr fontId="3"/>
  </si>
  <si>
    <t>検査機械の売却</t>
    <rPh sb="0" eb="2">
      <t>ケンサ</t>
    </rPh>
    <rPh sb="2" eb="4">
      <t>キカイ</t>
    </rPh>
    <rPh sb="5" eb="7">
      <t>バイキャク</t>
    </rPh>
    <phoneticPr fontId="3"/>
  </si>
  <si>
    <t>税引後研修教育費</t>
    <rPh sb="0" eb="2">
      <t>ゼイビキ</t>
    </rPh>
    <rPh sb="2" eb="3">
      <t>ゴ</t>
    </rPh>
    <rPh sb="3" eb="5">
      <t>ケンシュウ</t>
    </rPh>
    <rPh sb="5" eb="8">
      <t>キョウイクヒ</t>
    </rPh>
    <phoneticPr fontId="3"/>
  </si>
  <si>
    <t>税引後検査コスト</t>
    <rPh sb="0" eb="2">
      <t>ゼイビキ</t>
    </rPh>
    <rPh sb="2" eb="3">
      <t>ゴ</t>
    </rPh>
    <rPh sb="3" eb="5">
      <t>ケンサ</t>
    </rPh>
    <phoneticPr fontId="3"/>
  </si>
  <si>
    <t>税引後手直し費</t>
    <rPh sb="0" eb="2">
      <t>ゼイビキ</t>
    </rPh>
    <rPh sb="2" eb="3">
      <t>ゴ</t>
    </rPh>
    <rPh sb="3" eb="5">
      <t>テナオ</t>
    </rPh>
    <rPh sb="6" eb="7">
      <t>ヒ</t>
    </rPh>
    <phoneticPr fontId="3"/>
  </si>
  <si>
    <t>税引後CF計</t>
    <rPh sb="0" eb="2">
      <t>ゼイビキ</t>
    </rPh>
    <rPh sb="2" eb="3">
      <t>ゴ</t>
    </rPh>
    <rPh sb="5" eb="6">
      <t>ケイ</t>
    </rPh>
    <phoneticPr fontId="3"/>
  </si>
  <si>
    <t>検査コスト</t>
    <rPh sb="0" eb="2">
      <t>ケンサ</t>
    </rPh>
    <phoneticPr fontId="3"/>
  </si>
  <si>
    <t>旧設備をそのまま使う</t>
    <rPh sb="0" eb="1">
      <t>キュウ</t>
    </rPh>
    <rPh sb="1" eb="3">
      <t>セツビ</t>
    </rPh>
    <rPh sb="8" eb="9">
      <t>ツカ</t>
    </rPh>
    <phoneticPr fontId="3"/>
  </si>
  <si>
    <t>旧機械減価償却費TS</t>
    <rPh sb="0" eb="1">
      <t>キュウ</t>
    </rPh>
    <rPh sb="1" eb="3">
      <t>キカイ</t>
    </rPh>
    <rPh sb="3" eb="5">
      <t>ゲンカ</t>
    </rPh>
    <rPh sb="5" eb="7">
      <t>ショウキャク</t>
    </rPh>
    <rPh sb="7" eb="8">
      <t>ヒ</t>
    </rPh>
    <phoneticPr fontId="3"/>
  </si>
  <si>
    <t>税引後クレームコスト</t>
    <rPh sb="0" eb="2">
      <t>ゼイビキ</t>
    </rPh>
    <rPh sb="2" eb="3">
      <t>ゴ</t>
    </rPh>
    <phoneticPr fontId="3"/>
  </si>
  <si>
    <t>売上・利益の減少(税引後)</t>
    <rPh sb="0" eb="2">
      <t>ウリアゲ</t>
    </rPh>
    <rPh sb="3" eb="5">
      <t>リエキ</t>
    </rPh>
    <rPh sb="6" eb="8">
      <t>ゲンショウ</t>
    </rPh>
    <rPh sb="9" eb="11">
      <t>ゼイビキ</t>
    </rPh>
    <rPh sb="11" eb="12">
      <t>ゴ</t>
    </rPh>
    <phoneticPr fontId="3"/>
  </si>
  <si>
    <t>基本⑲</t>
    <rPh sb="0" eb="2">
      <t>キホン</t>
    </rPh>
    <phoneticPr fontId="3"/>
  </si>
  <si>
    <t>活動基準原価計算</t>
    <rPh sb="0" eb="2">
      <t>カツドウ</t>
    </rPh>
    <rPh sb="2" eb="4">
      <t>キジュン</t>
    </rPh>
    <rPh sb="4" eb="6">
      <t>ゲンカ</t>
    </rPh>
    <rPh sb="6" eb="8">
      <t>ケイサン</t>
    </rPh>
    <phoneticPr fontId="3"/>
  </si>
  <si>
    <t>基本⑱</t>
    <rPh sb="0" eb="2">
      <t>キホン</t>
    </rPh>
    <phoneticPr fontId="3"/>
  </si>
  <si>
    <t>品質原価計算</t>
    <rPh sb="0" eb="2">
      <t>ヒンシツ</t>
    </rPh>
    <rPh sb="2" eb="4">
      <t>ゲンカ</t>
    </rPh>
    <rPh sb="4" eb="6">
      <t>ケイサン</t>
    </rPh>
    <phoneticPr fontId="3"/>
  </si>
  <si>
    <t>第3章 戦略的管理会計</t>
    <rPh sb="0" eb="1">
      <t>ダイ</t>
    </rPh>
    <rPh sb="2" eb="3">
      <t>ショウ</t>
    </rPh>
    <rPh sb="4" eb="7">
      <t>センリャクテキ</t>
    </rPh>
    <rPh sb="7" eb="9">
      <t>カンリ</t>
    </rPh>
    <rPh sb="9" eb="11">
      <t>カイケイ</t>
    </rPh>
    <phoneticPr fontId="3"/>
  </si>
  <si>
    <t>基本⑰</t>
    <rPh sb="0" eb="2">
      <t>キホン</t>
    </rPh>
    <phoneticPr fontId="3"/>
  </si>
  <si>
    <t>耐用年数が異なる投資案の比較</t>
    <rPh sb="0" eb="2">
      <t>タイヨウ</t>
    </rPh>
    <rPh sb="2" eb="4">
      <t>ネンスウ</t>
    </rPh>
    <rPh sb="5" eb="6">
      <t>コト</t>
    </rPh>
    <rPh sb="8" eb="10">
      <t>トウシ</t>
    </rPh>
    <rPh sb="10" eb="11">
      <t>アン</t>
    </rPh>
    <rPh sb="12" eb="14">
      <t>ヒカク</t>
    </rPh>
    <phoneticPr fontId="3"/>
  </si>
  <si>
    <t>C</t>
    <phoneticPr fontId="3"/>
  </si>
  <si>
    <t>CASE19</t>
  </si>
  <si>
    <t>リースか購入かの意思決定</t>
    <rPh sb="4" eb="6">
      <t>コウニュウ</t>
    </rPh>
    <rPh sb="8" eb="10">
      <t>イシ</t>
    </rPh>
    <rPh sb="10" eb="12">
      <t>ケッテイ</t>
    </rPh>
    <phoneticPr fontId="3"/>
  </si>
  <si>
    <t>CASE18</t>
  </si>
  <si>
    <t>応用⑮</t>
    <rPh sb="0" eb="2">
      <t>オウヨウ</t>
    </rPh>
    <phoneticPr fontId="3"/>
  </si>
  <si>
    <t>基本⑭</t>
    <rPh sb="0" eb="2">
      <t>キホン</t>
    </rPh>
    <phoneticPr fontId="3"/>
  </si>
  <si>
    <t>取替投資の意思決定</t>
    <rPh sb="0" eb="2">
      <t>トリカ</t>
    </rPh>
    <rPh sb="2" eb="4">
      <t>トウシ</t>
    </rPh>
    <rPh sb="5" eb="7">
      <t>イシ</t>
    </rPh>
    <rPh sb="7" eb="9">
      <t>ケッテイ</t>
    </rPh>
    <phoneticPr fontId="3"/>
  </si>
  <si>
    <t>A</t>
    <phoneticPr fontId="3"/>
  </si>
  <si>
    <t>CASE17</t>
  </si>
  <si>
    <t>基本⑬</t>
    <rPh sb="0" eb="2">
      <t>キホン</t>
    </rPh>
    <phoneticPr fontId="3"/>
  </si>
  <si>
    <t>基本⑫</t>
    <rPh sb="0" eb="2">
      <t>キホン</t>
    </rPh>
    <phoneticPr fontId="3"/>
  </si>
  <si>
    <t>新規大規模投資の意思決定</t>
    <rPh sb="0" eb="2">
      <t>シンキ</t>
    </rPh>
    <rPh sb="2" eb="5">
      <t>ダイキボ</t>
    </rPh>
    <rPh sb="5" eb="7">
      <t>トウシ</t>
    </rPh>
    <rPh sb="8" eb="10">
      <t>イシ</t>
    </rPh>
    <rPh sb="10" eb="12">
      <t>ケッテイ</t>
    </rPh>
    <phoneticPr fontId="3"/>
  </si>
  <si>
    <t>S</t>
    <phoneticPr fontId="3"/>
  </si>
  <si>
    <t>CASE16</t>
  </si>
  <si>
    <t>タックス・シールドを考慮したCF計算</t>
    <rPh sb="10" eb="12">
      <t>コウリョ</t>
    </rPh>
    <rPh sb="16" eb="18">
      <t>ケイサン</t>
    </rPh>
    <phoneticPr fontId="3"/>
  </si>
  <si>
    <t>CASE15</t>
  </si>
  <si>
    <t>タックス・シールドとは？</t>
    <phoneticPr fontId="3"/>
  </si>
  <si>
    <t>CASE14</t>
  </si>
  <si>
    <t>設備投資意思決定 ～時間価値を考慮なし</t>
    <rPh sb="0" eb="2">
      <t>セツビ</t>
    </rPh>
    <rPh sb="2" eb="4">
      <t>トウシ</t>
    </rPh>
    <rPh sb="4" eb="6">
      <t>イシ</t>
    </rPh>
    <rPh sb="6" eb="8">
      <t>ケッテイ</t>
    </rPh>
    <rPh sb="10" eb="12">
      <t>ジカン</t>
    </rPh>
    <rPh sb="12" eb="14">
      <t>カチ</t>
    </rPh>
    <rPh sb="15" eb="17">
      <t>コウリョ</t>
    </rPh>
    <phoneticPr fontId="3"/>
  </si>
  <si>
    <t>CASE13</t>
  </si>
  <si>
    <t>基本⑪</t>
    <rPh sb="0" eb="2">
      <t>キホン</t>
    </rPh>
    <phoneticPr fontId="3"/>
  </si>
  <si>
    <t>応用⑩</t>
    <rPh sb="0" eb="2">
      <t>オウヨウ</t>
    </rPh>
    <phoneticPr fontId="3"/>
  </si>
  <si>
    <t>基本⑨</t>
    <rPh sb="0" eb="2">
      <t>キホン</t>
    </rPh>
    <phoneticPr fontId="3"/>
  </si>
  <si>
    <t>基本⑧</t>
    <rPh sb="0" eb="2">
      <t>キホン</t>
    </rPh>
    <phoneticPr fontId="3"/>
  </si>
  <si>
    <t>設備投資意思決定の評価モデル</t>
    <rPh sb="0" eb="2">
      <t>セツビ</t>
    </rPh>
    <rPh sb="2" eb="4">
      <t>トウシ</t>
    </rPh>
    <rPh sb="4" eb="6">
      <t>イシ</t>
    </rPh>
    <rPh sb="6" eb="8">
      <t>ケッテイ</t>
    </rPh>
    <rPh sb="9" eb="11">
      <t>ヒョウカ</t>
    </rPh>
    <phoneticPr fontId="3"/>
  </si>
  <si>
    <t>CASE12</t>
  </si>
  <si>
    <t>貨幣の時間価値</t>
    <rPh sb="0" eb="2">
      <t>カヘイ</t>
    </rPh>
    <rPh sb="3" eb="5">
      <t>ジカン</t>
    </rPh>
    <rPh sb="5" eb="7">
      <t>カチ</t>
    </rPh>
    <phoneticPr fontId="3"/>
  </si>
  <si>
    <t>CASE11</t>
  </si>
  <si>
    <t>設備投資の意思決定とは？</t>
    <rPh sb="0" eb="2">
      <t>セツビ</t>
    </rPh>
    <rPh sb="2" eb="4">
      <t>トウシ</t>
    </rPh>
    <rPh sb="5" eb="7">
      <t>イシ</t>
    </rPh>
    <rPh sb="7" eb="9">
      <t>ケッテイ</t>
    </rPh>
    <phoneticPr fontId="3"/>
  </si>
  <si>
    <t>第2章 設備投資の意思決定</t>
    <rPh sb="0" eb="1">
      <t>ダイ</t>
    </rPh>
    <rPh sb="2" eb="3">
      <t>ショウ</t>
    </rPh>
    <rPh sb="4" eb="6">
      <t>セツビ</t>
    </rPh>
    <rPh sb="6" eb="8">
      <t>トウシ</t>
    </rPh>
    <rPh sb="9" eb="11">
      <t>イシ</t>
    </rPh>
    <rPh sb="11" eb="13">
      <t>ケッテイ</t>
    </rPh>
    <phoneticPr fontId="3"/>
  </si>
  <si>
    <t>経済的発注量 値引あり</t>
    <rPh sb="0" eb="3">
      <t>ケイザイテキ</t>
    </rPh>
    <rPh sb="3" eb="6">
      <t>ハッチュウリョウ</t>
    </rPh>
    <rPh sb="7" eb="9">
      <t>ネビ</t>
    </rPh>
    <phoneticPr fontId="3"/>
  </si>
  <si>
    <t>CASE9</t>
  </si>
  <si>
    <t>経済的発注量</t>
    <rPh sb="0" eb="3">
      <t>ケイザイテキ</t>
    </rPh>
    <rPh sb="3" eb="6">
      <t>ハッチュウリョウ</t>
    </rPh>
    <phoneticPr fontId="3"/>
  </si>
  <si>
    <t>CASE8</t>
  </si>
  <si>
    <t>基本⑥</t>
    <rPh sb="0" eb="2">
      <t>キホン</t>
    </rPh>
    <phoneticPr fontId="3"/>
  </si>
  <si>
    <t>セグメントの存廃</t>
    <rPh sb="6" eb="8">
      <t>ソンパイ</t>
    </rPh>
    <phoneticPr fontId="3"/>
  </si>
  <si>
    <t>CASE7</t>
  </si>
  <si>
    <t>追加加工の要否</t>
    <rPh sb="0" eb="2">
      <t>ツイカ</t>
    </rPh>
    <rPh sb="2" eb="4">
      <t>カコウ</t>
    </rPh>
    <rPh sb="5" eb="7">
      <t>ヨウヒ</t>
    </rPh>
    <phoneticPr fontId="3"/>
  </si>
  <si>
    <t>CASE6</t>
  </si>
  <si>
    <t>応用④</t>
    <rPh sb="0" eb="2">
      <t>オウヨウ</t>
    </rPh>
    <phoneticPr fontId="3"/>
  </si>
  <si>
    <t>基本③</t>
    <rPh sb="0" eb="2">
      <t>キホン</t>
    </rPh>
    <phoneticPr fontId="3"/>
  </si>
  <si>
    <t>内外製</t>
    <rPh sb="0" eb="2">
      <t>ナイガイ</t>
    </rPh>
    <rPh sb="2" eb="3">
      <t>セイ</t>
    </rPh>
    <phoneticPr fontId="3"/>
  </si>
  <si>
    <t>CASE5</t>
  </si>
  <si>
    <t>○</t>
    <phoneticPr fontId="3"/>
  </si>
  <si>
    <t>応用②</t>
    <rPh sb="0" eb="2">
      <t>オウヨウ</t>
    </rPh>
    <phoneticPr fontId="3"/>
  </si>
  <si>
    <t>基本①</t>
    <rPh sb="0" eb="2">
      <t>キホン</t>
    </rPh>
    <phoneticPr fontId="3"/>
  </si>
  <si>
    <t>特別注文引受可否</t>
    <rPh sb="0" eb="2">
      <t>トクベツ</t>
    </rPh>
    <rPh sb="2" eb="4">
      <t>チュウモン</t>
    </rPh>
    <rPh sb="4" eb="6">
      <t>ヒキウケ</t>
    </rPh>
    <rPh sb="6" eb="8">
      <t>カヒ</t>
    </rPh>
    <phoneticPr fontId="3"/>
  </si>
  <si>
    <t>CASE4</t>
  </si>
  <si>
    <t>差額原価収益分析とは？</t>
    <rPh sb="0" eb="2">
      <t>サガク</t>
    </rPh>
    <rPh sb="2" eb="4">
      <t>ゲンカ</t>
    </rPh>
    <rPh sb="4" eb="6">
      <t>シュウエキ</t>
    </rPh>
    <rPh sb="6" eb="8">
      <t>ブンセキ</t>
    </rPh>
    <phoneticPr fontId="3"/>
  </si>
  <si>
    <t>CASE3</t>
  </si>
  <si>
    <t>経営意思決定における原価</t>
    <rPh sb="0" eb="2">
      <t>ケイエイ</t>
    </rPh>
    <rPh sb="2" eb="4">
      <t>イシ</t>
    </rPh>
    <rPh sb="4" eb="6">
      <t>ケッテイ</t>
    </rPh>
    <rPh sb="10" eb="12">
      <t>ゲンカ</t>
    </rPh>
    <phoneticPr fontId="3"/>
  </si>
  <si>
    <t>CASE2</t>
  </si>
  <si>
    <t>経営意思決定とは？</t>
    <rPh sb="0" eb="2">
      <t>ケイエイ</t>
    </rPh>
    <rPh sb="2" eb="4">
      <t>イシ</t>
    </rPh>
    <rPh sb="4" eb="6">
      <t>ケッテイ</t>
    </rPh>
    <phoneticPr fontId="3"/>
  </si>
  <si>
    <t>B</t>
    <phoneticPr fontId="3"/>
  </si>
  <si>
    <t>第1章 業務的意思決定</t>
    <rPh sb="0" eb="1">
      <t>ダイ</t>
    </rPh>
    <rPh sb="2" eb="3">
      <t>ショウ</t>
    </rPh>
    <rPh sb="4" eb="7">
      <t>ギョウムテキ</t>
    </rPh>
    <rPh sb="7" eb="9">
      <t>イシ</t>
    </rPh>
    <rPh sb="9" eb="11">
      <t>ケッテイ</t>
    </rPh>
    <phoneticPr fontId="3"/>
  </si>
  <si>
    <t>感度分析</t>
    <rPh sb="0" eb="2">
      <t>カンド</t>
    </rPh>
    <rPh sb="2" eb="4">
      <t>ブンセキ</t>
    </rPh>
    <phoneticPr fontId="3"/>
  </si>
  <si>
    <t>差額原価収益</t>
    <rPh sb="0" eb="2">
      <t>サガク</t>
    </rPh>
    <rPh sb="2" eb="4">
      <t>ゲンカ</t>
    </rPh>
    <rPh sb="4" eb="6">
      <t>シュウエキ</t>
    </rPh>
    <phoneticPr fontId="3"/>
  </si>
  <si>
    <t>標準原価カード</t>
    <rPh sb="0" eb="2">
      <t>ヒョウジュン</t>
    </rPh>
    <rPh sb="2" eb="4">
      <t>ゲンカ</t>
    </rPh>
    <phoneticPr fontId="3"/>
  </si>
  <si>
    <t>直接原価計算</t>
    <rPh sb="0" eb="2">
      <t>チョクセツ</t>
    </rPh>
    <rPh sb="2" eb="4">
      <t>ゲンカ</t>
    </rPh>
    <rPh sb="4" eb="6">
      <t>ケイサン</t>
    </rPh>
    <phoneticPr fontId="3"/>
  </si>
  <si>
    <t>問題</t>
    <rPh sb="0" eb="2">
      <t>モンダイ</t>
    </rPh>
    <phoneticPr fontId="3"/>
  </si>
  <si>
    <t>計算パターンの要素</t>
    <rPh sb="0" eb="2">
      <t>ケイサン</t>
    </rPh>
    <rPh sb="7" eb="9">
      <t>ヨウソ</t>
    </rPh>
    <phoneticPr fontId="3"/>
  </si>
  <si>
    <t>タイトル</t>
    <phoneticPr fontId="3"/>
  </si>
  <si>
    <t>重要度</t>
    <rPh sb="0" eb="3">
      <t>ジュウヨウド</t>
    </rPh>
    <phoneticPr fontId="3"/>
  </si>
  <si>
    <t>章・節</t>
    <rPh sb="0" eb="1">
      <t>ショウ</t>
    </rPh>
    <rPh sb="2" eb="3">
      <t>セツ</t>
    </rPh>
    <phoneticPr fontId="3"/>
  </si>
  <si>
    <t>固変分解</t>
    <rPh sb="0" eb="1">
      <t>コ</t>
    </rPh>
    <rPh sb="1" eb="2">
      <t>ヘン</t>
    </rPh>
    <rPh sb="2" eb="4">
      <t>ブンカイ</t>
    </rPh>
    <phoneticPr fontId="3"/>
  </si>
  <si>
    <t>○</t>
    <phoneticPr fontId="3"/>
  </si>
  <si>
    <t>連結原価</t>
    <rPh sb="0" eb="2">
      <t>レンケツ</t>
    </rPh>
    <rPh sb="2" eb="4">
      <t>ゲンカ</t>
    </rPh>
    <phoneticPr fontId="3"/>
  </si>
  <si>
    <t>個別固定費</t>
    <rPh sb="0" eb="2">
      <t>コベツ</t>
    </rPh>
    <rPh sb="2" eb="5">
      <t>コテイヒ</t>
    </rPh>
    <phoneticPr fontId="3"/>
  </si>
  <si>
    <t>経済的発注量</t>
    <rPh sb="0" eb="3">
      <t>ケイザイテキ</t>
    </rPh>
    <rPh sb="3" eb="5">
      <t>ハッチュウ</t>
    </rPh>
    <rPh sb="5" eb="6">
      <t>リョウ</t>
    </rPh>
    <phoneticPr fontId="3"/>
  </si>
  <si>
    <t>方程式(損益/優劣分岐)</t>
    <rPh sb="0" eb="3">
      <t>ホウテイシキ</t>
    </rPh>
    <rPh sb="4" eb="6">
      <t>ソンエキ</t>
    </rPh>
    <rPh sb="7" eb="9">
      <t>ユウレツ</t>
    </rPh>
    <rPh sb="9" eb="11">
      <t>ブンキ</t>
    </rPh>
    <phoneticPr fontId="3"/>
  </si>
  <si>
    <t>スッキリわかる 1級エクセル</t>
    <rPh sb="9" eb="10">
      <t>キュウ</t>
    </rPh>
    <phoneticPr fontId="3"/>
  </si>
  <si>
    <t xml:space="preserve">第1章 CASE4 特別注文 </t>
    <rPh sb="0" eb="1">
      <t>ダイ</t>
    </rPh>
    <rPh sb="2" eb="3">
      <t>ショウ</t>
    </rPh>
    <rPh sb="10" eb="12">
      <t>トクベツ</t>
    </rPh>
    <rPh sb="12" eb="14">
      <t>チュウモン</t>
    </rPh>
    <phoneticPr fontId="3"/>
  </si>
  <si>
    <t xml:space="preserve">第2章 CASE12 設備投資意思決定 </t>
    <rPh sb="0" eb="1">
      <t>ダイ</t>
    </rPh>
    <rPh sb="2" eb="3">
      <t>ショウ</t>
    </rPh>
    <rPh sb="11" eb="13">
      <t>セツビ</t>
    </rPh>
    <rPh sb="13" eb="15">
      <t>トウシ</t>
    </rPh>
    <rPh sb="15" eb="17">
      <t>イシ</t>
    </rPh>
    <rPh sb="17" eb="19">
      <t>ケッテイ</t>
    </rPh>
    <phoneticPr fontId="3"/>
  </si>
  <si>
    <t>問題⑨</t>
    <rPh sb="0" eb="2">
      <t>モンダイ</t>
    </rPh>
    <phoneticPr fontId="3"/>
  </si>
  <si>
    <t>問題⑩</t>
    <rPh sb="0" eb="2">
      <t>モンダイ</t>
    </rPh>
    <phoneticPr fontId="3"/>
  </si>
  <si>
    <t>問題⑪</t>
    <rPh sb="0" eb="2">
      <t>モンダイ</t>
    </rPh>
    <phoneticPr fontId="3"/>
  </si>
  <si>
    <t>問題⑫</t>
    <rPh sb="0" eb="2">
      <t>モンダイ</t>
    </rPh>
    <phoneticPr fontId="3"/>
  </si>
  <si>
    <t xml:space="preserve">第2章 CASE13 設備投資意思決定 ～時間価値考慮しない </t>
    <rPh sb="0" eb="1">
      <t>ダイ</t>
    </rPh>
    <rPh sb="2" eb="3">
      <t>ショウ</t>
    </rPh>
    <rPh sb="11" eb="13">
      <t>セツビ</t>
    </rPh>
    <rPh sb="13" eb="15">
      <t>トウシ</t>
    </rPh>
    <rPh sb="15" eb="17">
      <t>イシ</t>
    </rPh>
    <rPh sb="17" eb="19">
      <t>ケッテイ</t>
    </rPh>
    <rPh sb="21" eb="23">
      <t>ジカン</t>
    </rPh>
    <rPh sb="23" eb="25">
      <t>カチ</t>
    </rPh>
    <rPh sb="25" eb="27">
      <t>コウリョ</t>
    </rPh>
    <phoneticPr fontId="3"/>
  </si>
  <si>
    <t xml:space="preserve">第2章 CASE16 新規大規模投資 </t>
    <rPh sb="0" eb="1">
      <t>ダイ</t>
    </rPh>
    <rPh sb="2" eb="3">
      <t>ショウ</t>
    </rPh>
    <rPh sb="11" eb="13">
      <t>シンキ</t>
    </rPh>
    <rPh sb="13" eb="16">
      <t>ダイキボ</t>
    </rPh>
    <rPh sb="16" eb="18">
      <t>トウシ</t>
    </rPh>
    <phoneticPr fontId="3"/>
  </si>
  <si>
    <t xml:space="preserve">第2章 CASE17 取替投資 </t>
    <rPh sb="0" eb="1">
      <t>ダイ</t>
    </rPh>
    <rPh sb="2" eb="3">
      <t>ショウ</t>
    </rPh>
    <rPh sb="11" eb="13">
      <t>トリカエ</t>
    </rPh>
    <rPh sb="13" eb="15">
      <t>トウシ</t>
    </rPh>
    <phoneticPr fontId="3"/>
  </si>
  <si>
    <t>B</t>
    <phoneticPr fontId="3"/>
  </si>
  <si>
    <t>CASE21</t>
    <phoneticPr fontId="3"/>
  </si>
  <si>
    <t>CASE20</t>
    <phoneticPr fontId="3"/>
  </si>
  <si>
    <t>WACC</t>
    <phoneticPr fontId="3"/>
  </si>
  <si>
    <t>他の方法</t>
    <rPh sb="0" eb="1">
      <t>ホカ</t>
    </rPh>
    <rPh sb="2" eb="4">
      <t>ホウホウ</t>
    </rPh>
    <phoneticPr fontId="3"/>
  </si>
  <si>
    <t>IRR、PI</t>
    <phoneticPr fontId="3"/>
  </si>
  <si>
    <t>CASE10</t>
    <phoneticPr fontId="3"/>
  </si>
  <si>
    <t>逆算(優劣分岐)</t>
    <rPh sb="0" eb="2">
      <t>ギャクサン</t>
    </rPh>
    <rPh sb="3" eb="5">
      <t>ユウレツ</t>
    </rPh>
    <rPh sb="5" eb="7">
      <t>ブンキ</t>
    </rPh>
    <phoneticPr fontId="3"/>
  </si>
  <si>
    <t>運転資本増減</t>
    <rPh sb="0" eb="2">
      <t>ウンテン</t>
    </rPh>
    <rPh sb="2" eb="4">
      <t>シホン</t>
    </rPh>
    <rPh sb="4" eb="6">
      <t>ゾウゲン</t>
    </rPh>
    <phoneticPr fontId="3"/>
  </si>
  <si>
    <t>TS、期末売却</t>
    <rPh sb="3" eb="5">
      <t>キマツ</t>
    </rPh>
    <rPh sb="5" eb="7">
      <t>バイキャク</t>
    </rPh>
    <phoneticPr fontId="3"/>
  </si>
  <si>
    <t>その他時間価値</t>
    <rPh sb="2" eb="3">
      <t>タ</t>
    </rPh>
    <rPh sb="3" eb="5">
      <t>ジカン</t>
    </rPh>
    <rPh sb="5" eb="7">
      <t>カチ</t>
    </rPh>
    <phoneticPr fontId="3"/>
  </si>
  <si>
    <t>⑦</t>
    <phoneticPr fontId="3"/>
  </si>
  <si>
    <t>S</t>
    <phoneticPr fontId="3"/>
  </si>
  <si>
    <t>CASE1</t>
    <phoneticPr fontId="3"/>
  </si>
  <si>
    <t>円/個までなら値引きOk。実際は繰り上げて3,884円と回答。</t>
    <rPh sb="0" eb="1">
      <t>エン</t>
    </rPh>
    <rPh sb="2" eb="3">
      <t>コ</t>
    </rPh>
    <rPh sb="7" eb="9">
      <t>ネビ</t>
    </rPh>
    <rPh sb="13" eb="15">
      <t>ジッサイ</t>
    </rPh>
    <rPh sb="16" eb="17">
      <t>ク</t>
    </rPh>
    <rPh sb="18" eb="19">
      <t>ア</t>
    </rPh>
    <rPh sb="26" eb="27">
      <t>エン</t>
    </rPh>
    <rPh sb="28" eb="30">
      <t>カイトウ</t>
    </rPh>
    <phoneticPr fontId="3"/>
  </si>
  <si>
    <t>円/個まで値引きに使える</t>
    <rPh sb="0" eb="1">
      <t>エン</t>
    </rPh>
    <rPh sb="2" eb="3">
      <t>コ</t>
    </rPh>
    <rPh sb="5" eb="7">
      <t>ネビ</t>
    </rPh>
    <rPh sb="9" eb="10">
      <t>ツカ</t>
    </rPh>
    <phoneticPr fontId="3"/>
  </si>
  <si>
    <t>←これを既存注文15,000個の値引き原資と考える</t>
    <rPh sb="4" eb="6">
      <t>キゾン</t>
    </rPh>
    <rPh sb="6" eb="8">
      <t>チュウモン</t>
    </rPh>
    <rPh sb="14" eb="15">
      <t>コ</t>
    </rPh>
    <rPh sb="16" eb="18">
      <t>ネビ</t>
    </rPh>
    <rPh sb="19" eb="21">
      <t>ゲンシ</t>
    </rPh>
    <rPh sb="22" eb="23">
      <t>カンガ</t>
    </rPh>
    <phoneticPr fontId="3"/>
  </si>
  <si>
    <t>特別注文による差額収益</t>
    <rPh sb="0" eb="2">
      <t>トクベツ</t>
    </rPh>
    <rPh sb="2" eb="4">
      <t>チュウモン</t>
    </rPh>
    <rPh sb="7" eb="9">
      <t>サガク</t>
    </rPh>
    <rPh sb="9" eb="11">
      <t>シュウエキ</t>
    </rPh>
    <phoneticPr fontId="3"/>
  </si>
  <si>
    <t xml:space="preserve">   先方との取引関係を考え、赤字にならない値引き額を返答するのが大人。</t>
    <rPh sb="3" eb="5">
      <t>センポウ</t>
    </rPh>
    <rPh sb="7" eb="9">
      <t>トリヒキ</t>
    </rPh>
    <rPh sb="9" eb="11">
      <t>カンケイ</t>
    </rPh>
    <rPh sb="12" eb="13">
      <t>カンガ</t>
    </rPh>
    <rPh sb="15" eb="17">
      <t>アカジ</t>
    </rPh>
    <rPh sb="22" eb="24">
      <t>ネビ</t>
    </rPh>
    <rPh sb="25" eb="26">
      <t>ガク</t>
    </rPh>
    <rPh sb="27" eb="29">
      <t>ヘントウ</t>
    </rPh>
    <rPh sb="33" eb="35">
      <t>オトナ</t>
    </rPh>
    <phoneticPr fontId="3"/>
  </si>
  <si>
    <t>→特別注文の打診に｢それでは赤字です。引き受けません｣と断ると、｢ではいくら値引きできる｣と食い下がられることがしばしば。</t>
    <rPh sb="1" eb="3">
      <t>トクベツ</t>
    </rPh>
    <rPh sb="3" eb="5">
      <t>チュウモン</t>
    </rPh>
    <rPh sb="6" eb="8">
      <t>ダシン</t>
    </rPh>
    <rPh sb="14" eb="16">
      <t>アカジ</t>
    </rPh>
    <rPh sb="19" eb="20">
      <t>ヒ</t>
    </rPh>
    <rPh sb="21" eb="22">
      <t>ウ</t>
    </rPh>
    <rPh sb="28" eb="29">
      <t>コトワ</t>
    </rPh>
    <rPh sb="38" eb="40">
      <t>ネビ</t>
    </rPh>
    <rPh sb="46" eb="47">
      <t>ク</t>
    </rPh>
    <rPh sb="48" eb="49">
      <t>サ</t>
    </rPh>
    <phoneticPr fontId="3"/>
  </si>
  <si>
    <t>値下げ余地の計算</t>
    <rPh sb="0" eb="2">
      <t>ネサ</t>
    </rPh>
    <rPh sb="3" eb="5">
      <t>ヨチ</t>
    </rPh>
    <rPh sb="6" eb="8">
      <t>ケイサン</t>
    </rPh>
    <phoneticPr fontId="3"/>
  </si>
  <si>
    <t>問3</t>
    <rPh sb="0" eb="1">
      <t>トイ</t>
    </rPh>
    <phoneticPr fontId="3"/>
  </si>
  <si>
    <t>差額収益＜差額費用。つまり赤字になるので引き受けない。</t>
    <rPh sb="0" eb="2">
      <t>サガク</t>
    </rPh>
    <rPh sb="2" eb="4">
      <t>シュウエキ</t>
    </rPh>
    <rPh sb="5" eb="7">
      <t>サガク</t>
    </rPh>
    <rPh sb="7" eb="9">
      <t>ヒヨウ</t>
    </rPh>
    <rPh sb="13" eb="15">
      <t>アカジ</t>
    </rPh>
    <rPh sb="20" eb="21">
      <t>ヒ</t>
    </rPh>
    <rPh sb="22" eb="23">
      <t>ウ</t>
    </rPh>
    <phoneticPr fontId="3"/>
  </si>
  <si>
    <t>V販売費</t>
    <rPh sb="1" eb="4">
      <t>ハンバイヒ</t>
    </rPh>
    <phoneticPr fontId="3"/>
  </si>
  <si>
    <t>V製造間接費</t>
    <rPh sb="1" eb="3">
      <t>セイゾウ</t>
    </rPh>
    <rPh sb="3" eb="5">
      <t>カンセツ</t>
    </rPh>
    <rPh sb="5" eb="6">
      <t>ヒ</t>
    </rPh>
    <phoneticPr fontId="3"/>
  </si>
  <si>
    <t>V労務費</t>
    <rPh sb="1" eb="4">
      <t>ロウムヒ</t>
    </rPh>
    <phoneticPr fontId="3"/>
  </si>
  <si>
    <t>V製造費</t>
    <rPh sb="1" eb="4">
      <t>セイゾウヒ</t>
    </rPh>
    <phoneticPr fontId="3"/>
  </si>
  <si>
    <t>値下げ</t>
    <rPh sb="0" eb="2">
      <t>ネサ</t>
    </rPh>
    <phoneticPr fontId="3"/>
  </si>
  <si>
    <t>差額費用</t>
    <rPh sb="0" eb="2">
      <t>サガク</t>
    </rPh>
    <rPh sb="2" eb="4">
      <t>ヒヨウ</t>
    </rPh>
    <phoneticPr fontId="3"/>
  </si>
  <si>
    <t>差額収益</t>
    <rPh sb="0" eb="2">
      <t>サガク</t>
    </rPh>
    <rPh sb="2" eb="4">
      <t>シュウエキ</t>
    </rPh>
    <phoneticPr fontId="3"/>
  </si>
  <si>
    <t>個数</t>
    <rPh sb="0" eb="2">
      <t>コスウ</t>
    </rPh>
    <phoneticPr fontId="3"/>
  </si>
  <si>
    <t>→ある販売をするために、別のどこかで値引きが起きる。これを限界利益の総額で計算すると大変なので、差額を使う手抜きの仕方を覚える。</t>
    <rPh sb="3" eb="5">
      <t>ハンバイ</t>
    </rPh>
    <rPh sb="12" eb="13">
      <t>ベツ</t>
    </rPh>
    <rPh sb="18" eb="20">
      <t>ネビ</t>
    </rPh>
    <rPh sb="22" eb="23">
      <t>オ</t>
    </rPh>
    <rPh sb="29" eb="31">
      <t>ゲンカイ</t>
    </rPh>
    <rPh sb="31" eb="33">
      <t>リエキ</t>
    </rPh>
    <rPh sb="34" eb="36">
      <t>ソウガク</t>
    </rPh>
    <rPh sb="37" eb="39">
      <t>ケイサン</t>
    </rPh>
    <rPh sb="42" eb="44">
      <t>タイヘン</t>
    </rPh>
    <rPh sb="48" eb="50">
      <t>サガク</t>
    </rPh>
    <rPh sb="51" eb="52">
      <t>ツカ</t>
    </rPh>
    <rPh sb="53" eb="55">
      <t>テヌ</t>
    </rPh>
    <rPh sb="57" eb="59">
      <t>シカタ</t>
    </rPh>
    <rPh sb="60" eb="61">
      <t>オボ</t>
    </rPh>
    <phoneticPr fontId="3"/>
  </si>
  <si>
    <t>特別注文の引受可否</t>
    <rPh sb="0" eb="2">
      <t>トクベツ</t>
    </rPh>
    <rPh sb="2" eb="4">
      <t>チュウモン</t>
    </rPh>
    <rPh sb="5" eb="7">
      <t>ヒキウケ</t>
    </rPh>
    <rPh sb="7" eb="9">
      <t>カヒ</t>
    </rPh>
    <phoneticPr fontId="3"/>
  </si>
  <si>
    <t>問2</t>
    <rPh sb="0" eb="1">
      <t>トイ</t>
    </rPh>
    <phoneticPr fontId="3"/>
  </si>
  <si>
    <t>円 なので引き受ける</t>
    <rPh sb="0" eb="1">
      <t>エン</t>
    </rPh>
    <rPh sb="5" eb="6">
      <t>ヒ</t>
    </rPh>
    <rPh sb="7" eb="8">
      <t>ウ</t>
    </rPh>
    <phoneticPr fontId="3"/>
  </si>
  <si>
    <t>円 ＞</t>
    <rPh sb="0" eb="1">
      <t>エン</t>
    </rPh>
    <phoneticPr fontId="3"/>
  </si>
  <si>
    <t>→販売価格(差額収益)3,000円が、変動販売原価(差額費用)を上回れば引受けOK。</t>
    <rPh sb="1" eb="3">
      <t>ハンバイ</t>
    </rPh>
    <rPh sb="3" eb="5">
      <t>カカク</t>
    </rPh>
    <rPh sb="6" eb="8">
      <t>サガク</t>
    </rPh>
    <rPh sb="8" eb="10">
      <t>シュウエキ</t>
    </rPh>
    <rPh sb="16" eb="17">
      <t>エン</t>
    </rPh>
    <rPh sb="19" eb="21">
      <t>ヘンドウ</t>
    </rPh>
    <rPh sb="21" eb="23">
      <t>ハンバイ</t>
    </rPh>
    <rPh sb="23" eb="25">
      <t>ゲンカ</t>
    </rPh>
    <rPh sb="26" eb="28">
      <t>サガク</t>
    </rPh>
    <rPh sb="28" eb="30">
      <t>ヒヨウ</t>
    </rPh>
    <rPh sb="32" eb="34">
      <t>ウワマワ</t>
    </rPh>
    <rPh sb="36" eb="38">
      <t>ヒキウケ</t>
    </rPh>
    <phoneticPr fontId="3"/>
  </si>
  <si>
    <t>問1</t>
    <rPh sb="0" eb="1">
      <t>トイ</t>
    </rPh>
    <phoneticPr fontId="3"/>
  </si>
  <si>
    <t>F販売費</t>
    <rPh sb="1" eb="4">
      <t>ハンバイヒ</t>
    </rPh>
    <phoneticPr fontId="3"/>
  </si>
  <si>
    <t>F製造間接費</t>
    <rPh sb="1" eb="3">
      <t>セイゾウ</t>
    </rPh>
    <rPh sb="3" eb="5">
      <t>カンセツ</t>
    </rPh>
    <rPh sb="5" eb="6">
      <t>ヒ</t>
    </rPh>
    <phoneticPr fontId="3"/>
  </si>
  <si>
    <t>限界利益</t>
    <rPh sb="0" eb="2">
      <t>ゲンカイ</t>
    </rPh>
    <rPh sb="2" eb="4">
      <t>リエキ</t>
    </rPh>
    <phoneticPr fontId="3"/>
  </si>
  <si>
    <t xml:space="preserve"> 〃  変動分</t>
    <rPh sb="4" eb="6">
      <t>ヘンドウ</t>
    </rPh>
    <rPh sb="6" eb="7">
      <t>ブン</t>
    </rPh>
    <phoneticPr fontId="3"/>
  </si>
  <si>
    <t>円/個</t>
    <rPh sb="0" eb="1">
      <t>エン</t>
    </rPh>
    <rPh sb="2" eb="3">
      <t>コ</t>
    </rPh>
    <phoneticPr fontId="3"/>
  </si>
  <si>
    <t>予算(標準原価)に含まれる固定分</t>
    <rPh sb="0" eb="2">
      <t>ヨサン</t>
    </rPh>
    <rPh sb="3" eb="5">
      <t>ヒョウジュン</t>
    </rPh>
    <rPh sb="5" eb="7">
      <t>ゲンカ</t>
    </rPh>
    <rPh sb="9" eb="10">
      <t>フク</t>
    </rPh>
    <rPh sb="13" eb="15">
      <t>コテイ</t>
    </rPh>
    <rPh sb="15" eb="16">
      <t>ブン</t>
    </rPh>
    <phoneticPr fontId="3"/>
  </si>
  <si>
    <t>h</t>
    <phoneticPr fontId="3"/>
  </si>
  <si>
    <t>期待実際操業度</t>
    <rPh sb="0" eb="2">
      <t>キタイ</t>
    </rPh>
    <rPh sb="2" eb="4">
      <t>ジッサイ</t>
    </rPh>
    <rPh sb="4" eb="6">
      <t>ソウギョウ</t>
    </rPh>
    <rPh sb="6" eb="7">
      <t>ド</t>
    </rPh>
    <phoneticPr fontId="3"/>
  </si>
  <si>
    <t>円</t>
    <rPh sb="0" eb="1">
      <t>エン</t>
    </rPh>
    <phoneticPr fontId="3"/>
  </si>
  <si>
    <t>固定製造間接費予算</t>
    <rPh sb="0" eb="2">
      <t>コテイ</t>
    </rPh>
    <rPh sb="2" eb="4">
      <t>セイゾウ</t>
    </rPh>
    <rPh sb="4" eb="6">
      <t>カンセツ</t>
    </rPh>
    <rPh sb="6" eb="7">
      <t>ヒ</t>
    </rPh>
    <rPh sb="7" eb="9">
      <t>ヨサン</t>
    </rPh>
    <phoneticPr fontId="3"/>
  </si>
  <si>
    <t>資料3による追加変動費</t>
    <rPh sb="0" eb="2">
      <t>シリョウ</t>
    </rPh>
    <rPh sb="6" eb="8">
      <t>ツイカ</t>
    </rPh>
    <rPh sb="8" eb="10">
      <t>ヘンドウ</t>
    </rPh>
    <rPh sb="10" eb="11">
      <t>ヒ</t>
    </rPh>
    <phoneticPr fontId="3"/>
  </si>
  <si>
    <t>V材料費</t>
    <rPh sb="1" eb="4">
      <t>ザイリョウヒ</t>
    </rPh>
    <phoneticPr fontId="3"/>
  </si>
  <si>
    <t>販売単価</t>
    <rPh sb="0" eb="2">
      <t>ハンバイ</t>
    </rPh>
    <rPh sb="2" eb="4">
      <t>タンカ</t>
    </rPh>
    <phoneticPr fontId="3"/>
  </si>
  <si>
    <t>製造間接費の固変分解 (ここは簿記論点)</t>
    <rPh sb="0" eb="2">
      <t>セイゾウ</t>
    </rPh>
    <rPh sb="2" eb="4">
      <t>カンセツ</t>
    </rPh>
    <rPh sb="4" eb="5">
      <t>ヒ</t>
    </rPh>
    <rPh sb="6" eb="7">
      <t>モトヨリ</t>
    </rPh>
    <rPh sb="7" eb="8">
      <t>ヘン</t>
    </rPh>
    <rPh sb="8" eb="10">
      <t>ブンカイ</t>
    </rPh>
    <rPh sb="15" eb="17">
      <t>ボキ</t>
    </rPh>
    <rPh sb="17" eb="19">
      <t>ロンテン</t>
    </rPh>
    <phoneticPr fontId="3"/>
  </si>
  <si>
    <t>標準原価/個</t>
    <rPh sb="0" eb="2">
      <t>ヒョウジュン</t>
    </rPh>
    <rPh sb="2" eb="4">
      <t>ゲンカ</t>
    </rPh>
    <rPh sb="5" eb="6">
      <t>コ</t>
    </rPh>
    <phoneticPr fontId="3"/>
  </si>
  <si>
    <t>消費量</t>
    <rPh sb="0" eb="3">
      <t>ショウヒリョウ</t>
    </rPh>
    <phoneticPr fontId="3"/>
  </si>
  <si>
    <t>製品A</t>
    <rPh sb="0" eb="2">
      <t>セイヒン</t>
    </rPh>
    <phoneticPr fontId="3"/>
  </si>
  <si>
    <t>F・・固定Fixed を指す</t>
    <rPh sb="3" eb="5">
      <t>コテイ</t>
    </rPh>
    <rPh sb="12" eb="13">
      <t>サ</t>
    </rPh>
    <phoneticPr fontId="3"/>
  </si>
  <si>
    <t>V・・変動Variable</t>
    <rPh sb="3" eb="5">
      <t>ヘンドウ</t>
    </rPh>
    <phoneticPr fontId="3"/>
  </si>
  <si>
    <t>【資料(標準原価カード)の整理】 ←文章を読み解いて作ろうとすると時間がかかる。使うはずの条件を先に思い出し、文章から拾う形にすると早い。</t>
    <rPh sb="1" eb="3">
      <t>シリョウ</t>
    </rPh>
    <rPh sb="4" eb="6">
      <t>ヒョウジュン</t>
    </rPh>
    <rPh sb="6" eb="8">
      <t>ゲンカ</t>
    </rPh>
    <rPh sb="13" eb="15">
      <t>セイリ</t>
    </rPh>
    <rPh sb="18" eb="20">
      <t>ブンショウ</t>
    </rPh>
    <rPh sb="21" eb="22">
      <t>ヨ</t>
    </rPh>
    <rPh sb="23" eb="24">
      <t>ト</t>
    </rPh>
    <rPh sb="26" eb="27">
      <t>ツク</t>
    </rPh>
    <rPh sb="33" eb="35">
      <t>ジカン</t>
    </rPh>
    <rPh sb="40" eb="41">
      <t>ツカ</t>
    </rPh>
    <rPh sb="45" eb="47">
      <t>ジョウケン</t>
    </rPh>
    <rPh sb="48" eb="49">
      <t>サキ</t>
    </rPh>
    <rPh sb="50" eb="51">
      <t>オモ</t>
    </rPh>
    <rPh sb="52" eb="53">
      <t>ダ</t>
    </rPh>
    <rPh sb="55" eb="57">
      <t>ブンショウ</t>
    </rPh>
    <rPh sb="59" eb="60">
      <t>ヒロ</t>
    </rPh>
    <rPh sb="61" eb="62">
      <t>カタチ</t>
    </rPh>
    <rPh sb="66" eb="67">
      <t>ハヤ</t>
    </rPh>
    <phoneticPr fontId="3"/>
  </si>
  <si>
    <t>・当問は計算条件が与えられ、｢差額原価収益｣がプラス・マイナスどちらかを判断させる基本問題。計算パターンとして、標準原価計算の簡易PLを作る練習。</t>
    <rPh sb="1" eb="2">
      <t>トウ</t>
    </rPh>
    <rPh sb="2" eb="3">
      <t>モン</t>
    </rPh>
    <rPh sb="4" eb="6">
      <t>ケイサン</t>
    </rPh>
    <rPh sb="6" eb="8">
      <t>ジョウケン</t>
    </rPh>
    <rPh sb="9" eb="10">
      <t>アタ</t>
    </rPh>
    <rPh sb="15" eb="17">
      <t>サガク</t>
    </rPh>
    <rPh sb="17" eb="19">
      <t>ゲンカ</t>
    </rPh>
    <rPh sb="19" eb="21">
      <t>シュウエキ</t>
    </rPh>
    <rPh sb="36" eb="38">
      <t>ハンダン</t>
    </rPh>
    <rPh sb="41" eb="43">
      <t>キホン</t>
    </rPh>
    <rPh sb="43" eb="45">
      <t>モンダイ</t>
    </rPh>
    <rPh sb="46" eb="48">
      <t>ケイサン</t>
    </rPh>
    <rPh sb="56" eb="58">
      <t>ヒョウジュン</t>
    </rPh>
    <rPh sb="58" eb="60">
      <t>ゲンカ</t>
    </rPh>
    <rPh sb="60" eb="62">
      <t>ケイサン</t>
    </rPh>
    <rPh sb="63" eb="65">
      <t>カンイ</t>
    </rPh>
    <rPh sb="68" eb="69">
      <t>ツク</t>
    </rPh>
    <rPh sb="70" eb="72">
      <t>レンシュウ</t>
    </rPh>
    <phoneticPr fontId="3"/>
  </si>
  <si>
    <t>・学問でなく、生産現場で実際に起きるシーンなので、出題パターンは無数に作れる。そこで問題を何回も解き直し、自分が勝てる計算パターン(計算のツボ)にどう持ち込むかまでの勝負。</t>
    <rPh sb="1" eb="3">
      <t>ガクモン</t>
    </rPh>
    <rPh sb="7" eb="9">
      <t>セイサン</t>
    </rPh>
    <rPh sb="9" eb="11">
      <t>ゲンバ</t>
    </rPh>
    <rPh sb="12" eb="14">
      <t>ジッサイ</t>
    </rPh>
    <rPh sb="15" eb="16">
      <t>オ</t>
    </rPh>
    <rPh sb="25" eb="27">
      <t>シュツダイ</t>
    </rPh>
    <rPh sb="32" eb="34">
      <t>ムスウ</t>
    </rPh>
    <rPh sb="35" eb="36">
      <t>ツク</t>
    </rPh>
    <rPh sb="42" eb="44">
      <t>モンダイ</t>
    </rPh>
    <rPh sb="45" eb="47">
      <t>ナンカイ</t>
    </rPh>
    <rPh sb="48" eb="49">
      <t>ト</t>
    </rPh>
    <rPh sb="50" eb="51">
      <t>ナオ</t>
    </rPh>
    <rPh sb="53" eb="55">
      <t>ジブン</t>
    </rPh>
    <rPh sb="56" eb="57">
      <t>カ</t>
    </rPh>
    <rPh sb="59" eb="61">
      <t>ケイサン</t>
    </rPh>
    <rPh sb="66" eb="68">
      <t>ケイサン</t>
    </rPh>
    <rPh sb="75" eb="76">
      <t>モ</t>
    </rPh>
    <rPh sb="77" eb="78">
      <t>コ</t>
    </rPh>
    <rPh sb="83" eb="85">
      <t>ショウブ</t>
    </rPh>
    <phoneticPr fontId="3"/>
  </si>
  <si>
    <t>・(業務的)意思決定会計の総合問題は、生産現場の儲かる・儲からない、またどうすれば儲かるかを限界利益を使って求める。そのため原価計算知識で文章から計算条件を読み取る能力がまず問われる。</t>
    <rPh sb="2" eb="5">
      <t>ギョウムテキ</t>
    </rPh>
    <rPh sb="6" eb="8">
      <t>イシ</t>
    </rPh>
    <rPh sb="8" eb="10">
      <t>ケッテイ</t>
    </rPh>
    <rPh sb="10" eb="12">
      <t>カイケイ</t>
    </rPh>
    <rPh sb="13" eb="15">
      <t>ソウゴウ</t>
    </rPh>
    <rPh sb="15" eb="17">
      <t>モンダイ</t>
    </rPh>
    <rPh sb="19" eb="21">
      <t>セイサン</t>
    </rPh>
    <rPh sb="21" eb="23">
      <t>ゲンバ</t>
    </rPh>
    <rPh sb="24" eb="25">
      <t>モウ</t>
    </rPh>
    <rPh sb="28" eb="29">
      <t>モウ</t>
    </rPh>
    <rPh sb="41" eb="42">
      <t>モウ</t>
    </rPh>
    <rPh sb="46" eb="48">
      <t>ゲンカイ</t>
    </rPh>
    <rPh sb="48" eb="50">
      <t>リエキ</t>
    </rPh>
    <rPh sb="51" eb="52">
      <t>ツカ</t>
    </rPh>
    <rPh sb="54" eb="55">
      <t>モト</t>
    </rPh>
    <rPh sb="62" eb="64">
      <t>ゲンカ</t>
    </rPh>
    <rPh sb="64" eb="66">
      <t>ケイサン</t>
    </rPh>
    <rPh sb="66" eb="68">
      <t>チシキ</t>
    </rPh>
    <rPh sb="69" eb="71">
      <t>ブンショウ</t>
    </rPh>
    <rPh sb="73" eb="75">
      <t>ケイサン</t>
    </rPh>
    <rPh sb="75" eb="77">
      <t>ジョウケン</t>
    </rPh>
    <rPh sb="78" eb="79">
      <t>ヨ</t>
    </rPh>
    <rPh sb="80" eb="81">
      <t>ト</t>
    </rPh>
    <rPh sb="82" eb="84">
      <t>ノウリョク</t>
    </rPh>
    <rPh sb="87" eb="88">
      <t>ト</t>
    </rPh>
    <phoneticPr fontId="3"/>
  </si>
  <si>
    <t>問題①</t>
    <rPh sb="0" eb="2">
      <t>モンダイ</t>
    </rPh>
    <phoneticPr fontId="3"/>
  </si>
  <si>
    <t>→PLへ</t>
    <phoneticPr fontId="3"/>
  </si>
  <si>
    <t>増加額</t>
    <rPh sb="0" eb="2">
      <t>ゾウカ</t>
    </rPh>
    <rPh sb="2" eb="3">
      <t>ガク</t>
    </rPh>
    <phoneticPr fontId="3"/>
  </si>
  <si>
    <t>h</t>
    <phoneticPr fontId="3"/>
  </si>
  <si>
    <t>対象時間</t>
    <rPh sb="0" eb="2">
      <t>タイショウ</t>
    </rPh>
    <rPh sb="2" eb="4">
      <t>ジカン</t>
    </rPh>
    <phoneticPr fontId="3"/>
  </si>
  <si>
    <t>円/h</t>
    <rPh sb="0" eb="1">
      <t>エン</t>
    </rPh>
    <phoneticPr fontId="3"/>
  </si>
  <si>
    <t>割増単価</t>
    <rPh sb="0" eb="2">
      <t>ワリマシ</t>
    </rPh>
    <rPh sb="2" eb="4">
      <t>タンカ</t>
    </rPh>
    <phoneticPr fontId="3"/>
  </si>
  <si>
    <t>(追加資料2-1) 割増賃金によるV労務費の増加額</t>
    <rPh sb="1" eb="3">
      <t>ツイカ</t>
    </rPh>
    <rPh sb="3" eb="5">
      <t>シリョウ</t>
    </rPh>
    <rPh sb="10" eb="12">
      <t>ワリマシ</t>
    </rPh>
    <rPh sb="12" eb="14">
      <t>チンギン</t>
    </rPh>
    <rPh sb="18" eb="21">
      <t>ロウムヒ</t>
    </rPh>
    <rPh sb="22" eb="24">
      <t>ゾウカ</t>
    </rPh>
    <rPh sb="24" eb="25">
      <t>ガク</t>
    </rPh>
    <phoneticPr fontId="3"/>
  </si>
  <si>
    <t>一番トクな2,500kg単位で発注する →PLへ</t>
    <rPh sb="0" eb="2">
      <t>イチバン</t>
    </rPh>
    <rPh sb="12" eb="14">
      <t>タンイ</t>
    </rPh>
    <rPh sb="15" eb="17">
      <t>ハッチュウ</t>
    </rPh>
    <phoneticPr fontId="3"/>
  </si>
  <si>
    <t>2000〃</t>
    <phoneticPr fontId="3"/>
  </si>
  <si>
    <t>1500〃</t>
    <phoneticPr fontId="3"/>
  </si>
  <si>
    <t>500kgずつ</t>
    <phoneticPr fontId="3"/>
  </si>
  <si>
    <t>どこが一番得か</t>
    <rPh sb="3" eb="5">
      <t>イチバン</t>
    </rPh>
    <rPh sb="5" eb="6">
      <t>トク</t>
    </rPh>
    <phoneticPr fontId="3"/>
  </si>
  <si>
    <t>在庫費用(年)</t>
    <rPh sb="0" eb="2">
      <t>ザイコ</t>
    </rPh>
    <rPh sb="2" eb="4">
      <t>ヒヨウ</t>
    </rPh>
    <rPh sb="5" eb="6">
      <t>ネン</t>
    </rPh>
    <phoneticPr fontId="3"/>
  </si>
  <si>
    <t>値引額(年)</t>
    <rPh sb="0" eb="2">
      <t>ネビ</t>
    </rPh>
    <rPh sb="2" eb="3">
      <t>ガク</t>
    </rPh>
    <rPh sb="4" eb="5">
      <t>ネン</t>
    </rPh>
    <phoneticPr fontId="3"/>
  </si>
  <si>
    <t>材料の買い方</t>
    <rPh sb="0" eb="2">
      <t>ザイリョウ</t>
    </rPh>
    <rPh sb="3" eb="4">
      <t>カ</t>
    </rPh>
    <rPh sb="5" eb="6">
      <t>カタ</t>
    </rPh>
    <phoneticPr fontId="3"/>
  </si>
  <si>
    <t>(注1)数量値引、在庫費用の損得計算</t>
    <rPh sb="1" eb="2">
      <t>チュウ</t>
    </rPh>
    <rPh sb="4" eb="6">
      <t>スウリョウ</t>
    </rPh>
    <rPh sb="6" eb="8">
      <t>ネビ</t>
    </rPh>
    <rPh sb="9" eb="11">
      <t>ザイコ</t>
    </rPh>
    <rPh sb="11" eb="13">
      <t>ヒヨウ</t>
    </rPh>
    <rPh sb="14" eb="16">
      <t>ソントク</t>
    </rPh>
    <rPh sb="16" eb="18">
      <t>ケイサン</t>
    </rPh>
    <phoneticPr fontId="3"/>
  </si>
  <si>
    <t>円差額収益が大きいため、この注文を(泣く泣く)引き受ける。</t>
    <rPh sb="0" eb="1">
      <t>エン</t>
    </rPh>
    <rPh sb="1" eb="3">
      <t>サガク</t>
    </rPh>
    <rPh sb="3" eb="5">
      <t>シュウエキ</t>
    </rPh>
    <rPh sb="6" eb="7">
      <t>オオ</t>
    </rPh>
    <rPh sb="14" eb="16">
      <t>チュウモン</t>
    </rPh>
    <rPh sb="18" eb="19">
      <t>ナ</t>
    </rPh>
    <rPh sb="20" eb="21">
      <t>ナ</t>
    </rPh>
    <rPh sb="23" eb="24">
      <t>ヒ</t>
    </rPh>
    <rPh sb="25" eb="26">
      <t>ウ</t>
    </rPh>
    <phoneticPr fontId="3"/>
  </si>
  <si>
    <t>↑ここも損になるが、特別注文を断る場合に比べ、</t>
    <rPh sb="4" eb="5">
      <t>ソン</t>
    </rPh>
    <rPh sb="10" eb="12">
      <t>トクベツ</t>
    </rPh>
    <rPh sb="12" eb="14">
      <t>チュウモン</t>
    </rPh>
    <rPh sb="15" eb="16">
      <t>コトワ</t>
    </rPh>
    <rPh sb="17" eb="19">
      <t>バアイ</t>
    </rPh>
    <rPh sb="20" eb="21">
      <t>クラ</t>
    </rPh>
    <phoneticPr fontId="3"/>
  </si>
  <si>
    <t>↑ここは損になる</t>
    <rPh sb="4" eb="5">
      <t>ソン</t>
    </rPh>
    <phoneticPr fontId="3"/>
  </si>
  <si>
    <t>営業利益</t>
    <rPh sb="0" eb="2">
      <t>エイギョウ</t>
    </rPh>
    <rPh sb="2" eb="4">
      <t>リエキ</t>
    </rPh>
    <phoneticPr fontId="3"/>
  </si>
  <si>
    <t>(追加資料2-2)</t>
    <rPh sb="1" eb="3">
      <t>ツイカ</t>
    </rPh>
    <rPh sb="3" eb="5">
      <t>シリョウ</t>
    </rPh>
    <phoneticPr fontId="3"/>
  </si>
  <si>
    <t xml:space="preserve">  貢献利益</t>
    <rPh sb="2" eb="4">
      <t>コウケン</t>
    </rPh>
    <rPh sb="4" eb="6">
      <t>リエキ</t>
    </rPh>
    <phoneticPr fontId="3"/>
  </si>
  <si>
    <t xml:space="preserve">  変動製造マージン</t>
    <rPh sb="2" eb="4">
      <t>ヘンドウ</t>
    </rPh>
    <rPh sb="4" eb="6">
      <t>セイゾウ</t>
    </rPh>
    <phoneticPr fontId="3"/>
  </si>
  <si>
    <t>(追加資料2-1)</t>
    <rPh sb="1" eb="3">
      <t>ツイカ</t>
    </rPh>
    <rPh sb="3" eb="5">
      <t>シリョウ</t>
    </rPh>
    <phoneticPr fontId="3"/>
  </si>
  <si>
    <t>(注1)</t>
    <rPh sb="1" eb="2">
      <t>チュウ</t>
    </rPh>
    <phoneticPr fontId="3"/>
  </si>
  <si>
    <t xml:space="preserve">  売上の値引き→</t>
    <rPh sb="2" eb="4">
      <t>ウリアゲ</t>
    </rPh>
    <rPh sb="5" eb="7">
      <t>ネビ</t>
    </rPh>
    <phoneticPr fontId="3"/>
  </si>
  <si>
    <t>売上高</t>
    <rPh sb="0" eb="2">
      <t>ウリアゲ</t>
    </rPh>
    <rPh sb="2" eb="3">
      <t>ダカ</t>
    </rPh>
    <phoneticPr fontId="3"/>
  </si>
  <si>
    <t>差額原価</t>
    <rPh sb="0" eb="2">
      <t>サガク</t>
    </rPh>
    <rPh sb="2" eb="4">
      <t>ゲンカ</t>
    </rPh>
    <phoneticPr fontId="3"/>
  </si>
  <si>
    <t>標準単価</t>
    <rPh sb="0" eb="2">
      <t>ヒョウジュン</t>
    </rPh>
    <rPh sb="2" eb="4">
      <t>タンカ</t>
    </rPh>
    <phoneticPr fontId="3"/>
  </si>
  <si>
    <t>所要量</t>
    <rPh sb="0" eb="2">
      <t>ショヨウ</t>
    </rPh>
    <rPh sb="2" eb="3">
      <t>リョウ</t>
    </rPh>
    <phoneticPr fontId="3"/>
  </si>
  <si>
    <t>引き受ける場合</t>
    <rPh sb="0" eb="1">
      <t>ヒ</t>
    </rPh>
    <rPh sb="2" eb="3">
      <t>ウ</t>
    </rPh>
    <rPh sb="5" eb="7">
      <t>バアイ</t>
    </rPh>
    <phoneticPr fontId="3"/>
  </si>
  <si>
    <t>断る場合</t>
    <rPh sb="0" eb="1">
      <t>コトワ</t>
    </rPh>
    <rPh sb="2" eb="4">
      <t>バアイ</t>
    </rPh>
    <phoneticPr fontId="3"/>
  </si>
  <si>
    <t>問1 予想PL作成</t>
    <rPh sb="0" eb="1">
      <t>トイ</t>
    </rPh>
    <rPh sb="3" eb="5">
      <t>ヨソウ</t>
    </rPh>
    <rPh sb="7" eb="9">
      <t>サクセイ</t>
    </rPh>
    <phoneticPr fontId="3"/>
  </si>
  <si>
    <t>・応用を問う当問では、問1→2につれて計算条件が複雑になる。簿記論点を組み合わせるといくらでも複雑になるので、基本レベルの計算で当たる｢断る場合｣の営業利益までを当てる。</t>
    <rPh sb="1" eb="3">
      <t>オウヨウ</t>
    </rPh>
    <rPh sb="4" eb="5">
      <t>ト</t>
    </rPh>
    <rPh sb="6" eb="7">
      <t>トウ</t>
    </rPh>
    <rPh sb="7" eb="8">
      <t>モン</t>
    </rPh>
    <rPh sb="11" eb="12">
      <t>トイ</t>
    </rPh>
    <rPh sb="19" eb="21">
      <t>ケイサン</t>
    </rPh>
    <rPh sb="21" eb="23">
      <t>ジョウケン</t>
    </rPh>
    <rPh sb="24" eb="26">
      <t>フクザツ</t>
    </rPh>
    <rPh sb="30" eb="32">
      <t>ボキ</t>
    </rPh>
    <rPh sb="32" eb="34">
      <t>ロンテン</t>
    </rPh>
    <rPh sb="35" eb="36">
      <t>ク</t>
    </rPh>
    <rPh sb="37" eb="38">
      <t>ア</t>
    </rPh>
    <rPh sb="47" eb="49">
      <t>フクザツ</t>
    </rPh>
    <rPh sb="55" eb="57">
      <t>キホン</t>
    </rPh>
    <rPh sb="61" eb="63">
      <t>ケイサン</t>
    </rPh>
    <rPh sb="64" eb="65">
      <t>ア</t>
    </rPh>
    <rPh sb="68" eb="69">
      <t>コトワ</t>
    </rPh>
    <rPh sb="70" eb="72">
      <t>バアイ</t>
    </rPh>
    <rPh sb="74" eb="76">
      <t>エイギョウ</t>
    </rPh>
    <rPh sb="76" eb="78">
      <t>リエキ</t>
    </rPh>
    <rPh sb="81" eb="82">
      <t>ア</t>
    </rPh>
    <phoneticPr fontId="3"/>
  </si>
  <si>
    <t>・BS・PL作成能力を問わない診断士試験では、｢損益計算書作成｣と言われるとビビる。でも意思決定会計で問われるのは｢直接原価計算のPL｣なので、割り切ってパターンで覚えて良い。</t>
    <rPh sb="44" eb="46">
      <t>イシ</t>
    </rPh>
    <rPh sb="46" eb="48">
      <t>ケッテイ</t>
    </rPh>
    <rPh sb="48" eb="50">
      <t>カイケイ</t>
    </rPh>
    <rPh sb="51" eb="52">
      <t>ト</t>
    </rPh>
    <rPh sb="58" eb="60">
      <t>チョクセツ</t>
    </rPh>
    <rPh sb="60" eb="62">
      <t>ゲンカ</t>
    </rPh>
    <rPh sb="62" eb="64">
      <t>ケイサン</t>
    </rPh>
    <rPh sb="72" eb="73">
      <t>ワ</t>
    </rPh>
    <rPh sb="74" eb="75">
      <t>キ</t>
    </rPh>
    <rPh sb="82" eb="83">
      <t>オボ</t>
    </rPh>
    <rPh sb="85" eb="86">
      <t>ヨ</t>
    </rPh>
    <phoneticPr fontId="3"/>
  </si>
  <si>
    <t>問題②</t>
    <rPh sb="0" eb="2">
      <t>モンダイ</t>
    </rPh>
    <phoneticPr fontId="3"/>
  </si>
  <si>
    <t>個以上なら内製が有利</t>
    <rPh sb="0" eb="1">
      <t>コ</t>
    </rPh>
    <rPh sb="1" eb="3">
      <t>イジョウ</t>
    </rPh>
    <rPh sb="5" eb="7">
      <t>ナイセイ</t>
    </rPh>
    <rPh sb="8" eb="10">
      <t>ユウリ</t>
    </rPh>
    <phoneticPr fontId="3"/>
  </si>
  <si>
    <t>F製造間接費(調整後)</t>
    <rPh sb="1" eb="3">
      <t>セイゾウ</t>
    </rPh>
    <rPh sb="3" eb="5">
      <t>カンセツ</t>
    </rPh>
    <rPh sb="5" eb="6">
      <t>ヒ</t>
    </rPh>
    <rPh sb="7" eb="10">
      <t>チョウセイゴ</t>
    </rPh>
    <phoneticPr fontId="3"/>
  </si>
  <si>
    <t>・・③6,000台×50円分が問3より割高に</t>
    <rPh sb="8" eb="9">
      <t>ダイ</t>
    </rPh>
    <rPh sb="12" eb="13">
      <t>エン</t>
    </rPh>
    <rPh sb="13" eb="14">
      <t>ブン</t>
    </rPh>
    <rPh sb="15" eb="16">
      <t>トイ</t>
    </rPh>
    <rPh sb="19" eb="21">
      <t>ワリダカ</t>
    </rPh>
    <phoneticPr fontId="3"/>
  </si>
  <si>
    <t>・・②賃料増える</t>
    <rPh sb="3" eb="5">
      <t>チンリョウ</t>
    </rPh>
    <rPh sb="5" eb="6">
      <t>フ</t>
    </rPh>
    <phoneticPr fontId="3"/>
  </si>
  <si>
    <t>調整(機会原価等)</t>
    <rPh sb="0" eb="2">
      <t>チョウセイ</t>
    </rPh>
    <rPh sb="3" eb="5">
      <t>キカイ</t>
    </rPh>
    <rPh sb="5" eb="7">
      <t>ゲンカ</t>
    </rPh>
    <rPh sb="7" eb="8">
      <t>トウ</t>
    </rPh>
    <phoneticPr fontId="3"/>
  </si>
  <si>
    <t xml:space="preserve">   差額原価や機会費用の±の捉え方は多様なので、自分なりにパターンを決めても良し、その場で±をふんわり考えても良し。</t>
    <rPh sb="3" eb="5">
      <t>サガク</t>
    </rPh>
    <rPh sb="5" eb="7">
      <t>ゲンカ</t>
    </rPh>
    <rPh sb="8" eb="10">
      <t>キカイ</t>
    </rPh>
    <rPh sb="10" eb="12">
      <t>ヒヨウ</t>
    </rPh>
    <rPh sb="15" eb="16">
      <t>トラ</t>
    </rPh>
    <rPh sb="17" eb="18">
      <t>カタ</t>
    </rPh>
    <rPh sb="19" eb="21">
      <t>タヨウ</t>
    </rPh>
    <rPh sb="25" eb="27">
      <t>ジブン</t>
    </rPh>
    <rPh sb="35" eb="36">
      <t>キ</t>
    </rPh>
    <rPh sb="39" eb="40">
      <t>ヨ</t>
    </rPh>
    <rPh sb="44" eb="45">
      <t>バ</t>
    </rPh>
    <rPh sb="52" eb="53">
      <t>カンガ</t>
    </rPh>
    <rPh sb="56" eb="57">
      <t>ヨ</t>
    </rPh>
    <phoneticPr fontId="3"/>
  </si>
  <si>
    <t>・・ごちゃごちゃ書いてあるが、②賃借料削減、③売り込み価格の変化が方程式にどう影響するか、±を間違えなければ解ける。</t>
    <rPh sb="8" eb="9">
      <t>カ</t>
    </rPh>
    <rPh sb="16" eb="19">
      <t>チンシャクリョウ</t>
    </rPh>
    <rPh sb="19" eb="21">
      <t>サクゲン</t>
    </rPh>
    <rPh sb="23" eb="24">
      <t>ウ</t>
    </rPh>
    <rPh sb="25" eb="26">
      <t>コ</t>
    </rPh>
    <rPh sb="27" eb="29">
      <t>カカク</t>
    </rPh>
    <rPh sb="30" eb="32">
      <t>ヘンカ</t>
    </rPh>
    <rPh sb="33" eb="36">
      <t>ホウテイシキ</t>
    </rPh>
    <rPh sb="39" eb="41">
      <t>エイキョウ</t>
    </rPh>
    <rPh sb="47" eb="49">
      <t>マチガ</t>
    </rPh>
    <rPh sb="54" eb="55">
      <t>ト</t>
    </rPh>
    <phoneticPr fontId="3"/>
  </si>
  <si>
    <t>問4 感度分析</t>
    <rPh sb="0" eb="1">
      <t>トイ</t>
    </rPh>
    <rPh sb="3" eb="5">
      <t>カンド</t>
    </rPh>
    <rPh sb="5" eb="7">
      <t>ブンセキ</t>
    </rPh>
    <phoneticPr fontId="3"/>
  </si>
  <si>
    <t>・・①</t>
    <phoneticPr fontId="3"/>
  </si>
  <si>
    <t>NET</t>
    <phoneticPr fontId="3"/>
  </si>
  <si>
    <t>控除(回避不能)</t>
    <rPh sb="0" eb="2">
      <t>コウジョ</t>
    </rPh>
    <rPh sb="3" eb="5">
      <t>カイヒ</t>
    </rPh>
    <rPh sb="5" eb="7">
      <t>フノウ</t>
    </rPh>
    <phoneticPr fontId="3"/>
  </si>
  <si>
    <t>購入原価</t>
    <rPh sb="0" eb="2">
      <t>コウニュウ</t>
    </rPh>
    <rPh sb="2" eb="4">
      <t>ゲンカ</t>
    </rPh>
    <phoneticPr fontId="3"/>
  </si>
  <si>
    <t>外注する</t>
    <rPh sb="0" eb="2">
      <t>ガイチュウ</t>
    </rPh>
    <phoneticPr fontId="3"/>
  </si>
  <si>
    <t>内製する</t>
    <rPh sb="0" eb="2">
      <t>ナイセイ</t>
    </rPh>
    <phoneticPr fontId="3"/>
  </si>
  <si>
    <t>・・損益分岐、優劣分岐を求める問題では、数量をxとおき、2式を連立させた方程式で解くことが多い。</t>
    <rPh sb="2" eb="4">
      <t>ソンエキ</t>
    </rPh>
    <rPh sb="4" eb="6">
      <t>ブンキ</t>
    </rPh>
    <rPh sb="7" eb="9">
      <t>ユウレツ</t>
    </rPh>
    <rPh sb="9" eb="11">
      <t>ブンキ</t>
    </rPh>
    <rPh sb="12" eb="13">
      <t>モト</t>
    </rPh>
    <rPh sb="15" eb="17">
      <t>モンダイ</t>
    </rPh>
    <rPh sb="20" eb="22">
      <t>スウリョウ</t>
    </rPh>
    <rPh sb="29" eb="30">
      <t>シキ</t>
    </rPh>
    <rPh sb="31" eb="33">
      <t>レンリツ</t>
    </rPh>
    <rPh sb="36" eb="39">
      <t>ホウテイシキ</t>
    </rPh>
    <rPh sb="40" eb="41">
      <t>ト</t>
    </rPh>
    <rPh sb="45" eb="46">
      <t>オオ</t>
    </rPh>
    <phoneticPr fontId="3"/>
  </si>
  <si>
    <t>問3 内外製 差額収益・原価</t>
    <rPh sb="0" eb="1">
      <t>トイ</t>
    </rPh>
    <rPh sb="3" eb="5">
      <t>ナイガイ</t>
    </rPh>
    <rPh sb="5" eb="6">
      <t>セイ</t>
    </rPh>
    <rPh sb="7" eb="9">
      <t>サガク</t>
    </rPh>
    <rPh sb="9" eb="11">
      <t>シュウエキ</t>
    </rPh>
    <rPh sb="12" eb="14">
      <t>ゲンカ</t>
    </rPh>
    <phoneticPr fontId="3"/>
  </si>
  <si>
    <t>台</t>
    <rPh sb="0" eb="1">
      <t>ダイ</t>
    </rPh>
    <phoneticPr fontId="3"/>
  </si>
  <si>
    <t>回避可能</t>
    <rPh sb="0" eb="2">
      <t>カイヒ</t>
    </rPh>
    <rPh sb="2" eb="4">
      <t>カノウ</t>
    </rPh>
    <phoneticPr fontId="3"/>
  </si>
  <si>
    <t>機械</t>
    <rPh sb="0" eb="2">
      <t>キカイ</t>
    </rPh>
    <phoneticPr fontId="3"/>
  </si>
  <si>
    <t>共通</t>
    <rPh sb="0" eb="2">
      <t>キョウツウ</t>
    </rPh>
    <phoneticPr fontId="3"/>
  </si>
  <si>
    <t>固定FOH</t>
    <rPh sb="0" eb="2">
      <t>コテイ</t>
    </rPh>
    <phoneticPr fontId="3"/>
  </si>
  <si>
    <t>問2 部長の給与</t>
    <rPh sb="0" eb="1">
      <t>トイ</t>
    </rPh>
    <rPh sb="3" eb="5">
      <t>ブチョウ</t>
    </rPh>
    <rPh sb="6" eb="8">
      <t>キュウヨ</t>
    </rPh>
    <phoneticPr fontId="3"/>
  </si>
  <si>
    <t>x +</t>
    <phoneticPr fontId="3"/>
  </si>
  <si>
    <t>y=</t>
    <phoneticPr fontId="3"/>
  </si>
  <si>
    <t>2月</t>
    <rPh sb="1" eb="2">
      <t>ガツ</t>
    </rPh>
    <phoneticPr fontId="3"/>
  </si>
  <si>
    <t>11月</t>
    <rPh sb="2" eb="3">
      <t>ガツ</t>
    </rPh>
    <phoneticPr fontId="3"/>
  </si>
  <si>
    <t>高低点法</t>
    <rPh sb="0" eb="2">
      <t>コウテイ</t>
    </rPh>
    <rPh sb="2" eb="3">
      <t>テン</t>
    </rPh>
    <rPh sb="3" eb="4">
      <t>ホウ</t>
    </rPh>
    <phoneticPr fontId="3"/>
  </si>
  <si>
    <t>・・診断士で問われる固変分解はこの｢高低点法｣だけ。ここを間違えると後の問題は全滅なので、方程式を使い確実に当てる。</t>
    <rPh sb="2" eb="5">
      <t>シンダンシ</t>
    </rPh>
    <rPh sb="6" eb="7">
      <t>ト</t>
    </rPh>
    <rPh sb="10" eb="12">
      <t>コヘン</t>
    </rPh>
    <rPh sb="12" eb="14">
      <t>ブンカイ</t>
    </rPh>
    <rPh sb="18" eb="20">
      <t>コウテイ</t>
    </rPh>
    <rPh sb="20" eb="21">
      <t>テン</t>
    </rPh>
    <rPh sb="21" eb="22">
      <t>ホウ</t>
    </rPh>
    <rPh sb="29" eb="31">
      <t>マチガ</t>
    </rPh>
    <rPh sb="34" eb="35">
      <t>アト</t>
    </rPh>
    <rPh sb="36" eb="38">
      <t>モンダイ</t>
    </rPh>
    <rPh sb="39" eb="41">
      <t>ゼンメツ</t>
    </rPh>
    <rPh sb="45" eb="48">
      <t>ホウテイシキ</t>
    </rPh>
    <rPh sb="49" eb="50">
      <t>ツカ</t>
    </rPh>
    <rPh sb="51" eb="53">
      <t>カクジツ</t>
    </rPh>
    <rPh sb="54" eb="55">
      <t>ア</t>
    </rPh>
    <phoneticPr fontId="3"/>
  </si>
  <si>
    <t>問1 固変分解</t>
    <rPh sb="0" eb="1">
      <t>トイ</t>
    </rPh>
    <rPh sb="3" eb="4">
      <t>モトヨリ</t>
    </rPh>
    <rPh sb="4" eb="5">
      <t>ヘン</t>
    </rPh>
    <rPh sb="5" eb="7">
      <t>ブンカイ</t>
    </rPh>
    <phoneticPr fontId="3"/>
  </si>
  <si>
    <t>・内外製では、｢どれくらい損か得か｣｢いくつ以上なら内製が有利か｣のどちらかが聞かれる。後者＝優劣分岐点の問題は、CVP分析と同様に連立方程式で解く。</t>
    <rPh sb="1" eb="3">
      <t>ナイガイ</t>
    </rPh>
    <rPh sb="3" eb="4">
      <t>セイ</t>
    </rPh>
    <rPh sb="13" eb="14">
      <t>ソン</t>
    </rPh>
    <rPh sb="15" eb="16">
      <t>トク</t>
    </rPh>
    <rPh sb="22" eb="24">
      <t>イジョウ</t>
    </rPh>
    <rPh sb="26" eb="28">
      <t>ナイセイ</t>
    </rPh>
    <rPh sb="29" eb="31">
      <t>ユウリ</t>
    </rPh>
    <rPh sb="39" eb="40">
      <t>キ</t>
    </rPh>
    <rPh sb="44" eb="46">
      <t>コウシャ</t>
    </rPh>
    <rPh sb="47" eb="49">
      <t>ユウレツ</t>
    </rPh>
    <rPh sb="49" eb="52">
      <t>ブンキテン</t>
    </rPh>
    <rPh sb="53" eb="55">
      <t>モンダイ</t>
    </rPh>
    <rPh sb="60" eb="62">
      <t>ブンセキ</t>
    </rPh>
    <rPh sb="63" eb="65">
      <t>ドウヨウ</t>
    </rPh>
    <rPh sb="66" eb="68">
      <t>レンリツ</t>
    </rPh>
    <rPh sb="68" eb="71">
      <t>ホウテイシキ</t>
    </rPh>
    <rPh sb="72" eb="73">
      <t>ト</t>
    </rPh>
    <phoneticPr fontId="3"/>
  </si>
  <si>
    <t>・特別注文が｢まとめて買うから安くする｣なら、内外製は｢安くするから買いませんか｣と売り込みを受ける。ここでも両者の差額原価収益を分析し、トクになる方を選ぶ。</t>
    <rPh sb="1" eb="3">
      <t>トクベツ</t>
    </rPh>
    <rPh sb="3" eb="5">
      <t>チュウモン</t>
    </rPh>
    <rPh sb="11" eb="12">
      <t>カ</t>
    </rPh>
    <rPh sb="15" eb="16">
      <t>ヤス</t>
    </rPh>
    <rPh sb="23" eb="25">
      <t>ナイガイ</t>
    </rPh>
    <rPh sb="25" eb="26">
      <t>セイ</t>
    </rPh>
    <rPh sb="28" eb="29">
      <t>ヤス</t>
    </rPh>
    <rPh sb="34" eb="35">
      <t>カ</t>
    </rPh>
    <rPh sb="42" eb="43">
      <t>ウ</t>
    </rPh>
    <rPh sb="44" eb="45">
      <t>コ</t>
    </rPh>
    <rPh sb="47" eb="48">
      <t>ウ</t>
    </rPh>
    <rPh sb="55" eb="57">
      <t>リョウシャ</t>
    </rPh>
    <rPh sb="58" eb="60">
      <t>サガク</t>
    </rPh>
    <rPh sb="60" eb="62">
      <t>ゲンカ</t>
    </rPh>
    <rPh sb="62" eb="64">
      <t>シュウエキ</t>
    </rPh>
    <rPh sb="65" eb="67">
      <t>ブンセキ</t>
    </rPh>
    <rPh sb="74" eb="75">
      <t>ホウ</t>
    </rPh>
    <rPh sb="76" eb="77">
      <t>エラ</t>
    </rPh>
    <phoneticPr fontId="3"/>
  </si>
  <si>
    <t>問題③</t>
    <rPh sb="0" eb="2">
      <t>モンダイ</t>
    </rPh>
    <phoneticPr fontId="3"/>
  </si>
  <si>
    <t>第1章 CASE5 内製か購入かの意思決定</t>
    <rPh sb="0" eb="1">
      <t>ダイ</t>
    </rPh>
    <rPh sb="2" eb="3">
      <t>ショウ</t>
    </rPh>
    <rPh sb="10" eb="12">
      <t>ナイセイ</t>
    </rPh>
    <rPh sb="13" eb="15">
      <t>コウニュウ</t>
    </rPh>
    <rPh sb="17" eb="19">
      <t>イシ</t>
    </rPh>
    <rPh sb="19" eb="21">
      <t>ケッテイ</t>
    </rPh>
    <phoneticPr fontId="3"/>
  </si>
  <si>
    <t>万円低く、有利。</t>
    <rPh sb="0" eb="2">
      <t>マンエン</t>
    </rPh>
    <rPh sb="2" eb="3">
      <t>ヒク</t>
    </rPh>
    <rPh sb="5" eb="7">
      <t>ユウリ</t>
    </rPh>
    <phoneticPr fontId="3"/>
  </si>
  <si>
    <t>A案の方が</t>
    <rPh sb="1" eb="2">
      <t>アン</t>
    </rPh>
    <rPh sb="3" eb="4">
      <t>ホウ</t>
    </rPh>
    <phoneticPr fontId="3"/>
  </si>
  <si>
    <t>B＋C</t>
    <phoneticPr fontId="3"/>
  </si>
  <si>
    <t>変動製造間接費</t>
    <rPh sb="0" eb="2">
      <t>ヘンドウ</t>
    </rPh>
    <rPh sb="2" eb="4">
      <t>セイゾウ</t>
    </rPh>
    <rPh sb="4" eb="6">
      <t>カンセツ</t>
    </rPh>
    <rPh sb="6" eb="7">
      <t>ヒ</t>
    </rPh>
    <phoneticPr fontId="3"/>
  </si>
  <si>
    <t>労務費</t>
    <rPh sb="0" eb="3">
      <t>ロウムヒ</t>
    </rPh>
    <phoneticPr fontId="3"/>
  </si>
  <si>
    <t>材料費</t>
    <rPh sb="0" eb="3">
      <t>ザイリョウヒ</t>
    </rPh>
    <phoneticPr fontId="3"/>
  </si>
  <si>
    <t>外部購入コスト</t>
    <rPh sb="0" eb="2">
      <t>ガイブ</t>
    </rPh>
    <rPh sb="2" eb="4">
      <t>コウニュウ</t>
    </rPh>
    <phoneticPr fontId="3"/>
  </si>
  <si>
    <t>C案</t>
    <rPh sb="1" eb="2">
      <t>アン</t>
    </rPh>
    <phoneticPr fontId="3"/>
  </si>
  <si>
    <t>B案</t>
    <rPh sb="1" eb="2">
      <t>アン</t>
    </rPh>
    <phoneticPr fontId="3"/>
  </si>
  <si>
    <t>問4</t>
    <rPh sb="0" eb="1">
      <t>トイ</t>
    </rPh>
    <phoneticPr fontId="3"/>
  </si>
  <si>
    <t>=</t>
    <phoneticPr fontId="3"/>
  </si>
  <si>
    <t>x</t>
    <phoneticPr fontId="3"/>
  </si>
  <si>
    <t>個以上なら、A案の方が有利</t>
    <rPh sb="0" eb="1">
      <t>コ</t>
    </rPh>
    <rPh sb="1" eb="3">
      <t>イジョウ</t>
    </rPh>
    <rPh sb="7" eb="8">
      <t>アン</t>
    </rPh>
    <rPh sb="9" eb="10">
      <t>ホウ</t>
    </rPh>
    <rPh sb="11" eb="13">
      <t>ユウリ</t>
    </rPh>
    <phoneticPr fontId="3"/>
  </si>
  <si>
    <t>Aの必要数が</t>
    <rPh sb="2" eb="5">
      <t>ヒツヨウスウ</t>
    </rPh>
    <phoneticPr fontId="3"/>
  </si>
  <si>
    <t>x +14,000,000=</t>
    <phoneticPr fontId="3"/>
  </si>
  <si>
    <t>・・A⇔B案の損益が一致する量をxとし、方程式で解く。一旦8,000個以下と仮定して単純化</t>
    <rPh sb="5" eb="6">
      <t>アン</t>
    </rPh>
    <rPh sb="7" eb="9">
      <t>ソンエキ</t>
    </rPh>
    <rPh sb="10" eb="12">
      <t>イッチ</t>
    </rPh>
    <rPh sb="14" eb="15">
      <t>リョウ</t>
    </rPh>
    <rPh sb="20" eb="23">
      <t>ホウテイシキ</t>
    </rPh>
    <rPh sb="24" eb="25">
      <t>ト</t>
    </rPh>
    <rPh sb="27" eb="29">
      <t>イッタン</t>
    </rPh>
    <rPh sb="34" eb="35">
      <t>コ</t>
    </rPh>
    <rPh sb="35" eb="37">
      <t>イカ</t>
    </rPh>
    <rPh sb="38" eb="40">
      <t>カテイ</t>
    </rPh>
    <rPh sb="42" eb="45">
      <t>タンジュンカ</t>
    </rPh>
    <phoneticPr fontId="3"/>
  </si>
  <si>
    <t>差額原価計</t>
    <rPh sb="0" eb="2">
      <t>サガク</t>
    </rPh>
    <rPh sb="2" eb="4">
      <t>ゲンカ</t>
    </rPh>
    <rPh sb="4" eb="5">
      <t>ケイ</t>
    </rPh>
    <phoneticPr fontId="3"/>
  </si>
  <si>
    <t>特殊設備リース料</t>
    <rPh sb="0" eb="2">
      <t>トクシュ</t>
    </rPh>
    <rPh sb="2" eb="4">
      <t>セツビ</t>
    </rPh>
    <rPh sb="7" eb="8">
      <t>リョウ</t>
    </rPh>
    <phoneticPr fontId="3"/>
  </si>
  <si>
    <t>材料費(割引)</t>
    <rPh sb="0" eb="3">
      <t>ザイリョウヒ</t>
    </rPh>
    <rPh sb="4" eb="6">
      <t>ワリビキ</t>
    </rPh>
    <phoneticPr fontId="3"/>
  </si>
  <si>
    <t>B案・・Aを外部購入 単位：万円</t>
    <rPh sb="1" eb="2">
      <t>アン</t>
    </rPh>
    <rPh sb="6" eb="8">
      <t>ガイブ</t>
    </rPh>
    <rPh sb="8" eb="10">
      <t>コウニュウ</t>
    </rPh>
    <rPh sb="11" eb="13">
      <t>タンイ</t>
    </rPh>
    <rPh sb="14" eb="16">
      <t>マンエン</t>
    </rPh>
    <phoneticPr fontId="3"/>
  </si>
  <si>
    <t>A案・・Aを自製</t>
    <rPh sb="1" eb="2">
      <t>アン</t>
    </rPh>
    <rPh sb="6" eb="8">
      <t>ジセイ</t>
    </rPh>
    <phoneticPr fontId="3"/>
  </si>
  <si>
    <t>←同額原価・・考慮しない</t>
    <rPh sb="1" eb="3">
      <t>ドウガク</t>
    </rPh>
    <rPh sb="3" eb="5">
      <t>ゲンカ</t>
    </rPh>
    <rPh sb="7" eb="9">
      <t>コウリョ</t>
    </rPh>
    <phoneticPr fontId="3"/>
  </si>
  <si>
    <t>固定製造間接費</t>
    <rPh sb="0" eb="2">
      <t>コテイ</t>
    </rPh>
    <rPh sb="2" eb="4">
      <t>セイゾウ</t>
    </rPh>
    <rPh sb="4" eb="6">
      <t>カンセツ</t>
    </rPh>
    <rPh sb="6" eb="7">
      <t>ヒ</t>
    </rPh>
    <phoneticPr fontId="3"/>
  </si>
  <si>
    <t>材料費 β</t>
    <rPh sb="0" eb="3">
      <t>ザイリョウヒ</t>
    </rPh>
    <phoneticPr fontId="3"/>
  </si>
  <si>
    <t>※割引有</t>
    <rPh sb="1" eb="3">
      <t>ワリビキ</t>
    </rPh>
    <rPh sb="3" eb="4">
      <t>アリ</t>
    </rPh>
    <phoneticPr fontId="3"/>
  </si>
  <si>
    <t>材料費 α</t>
    <rPh sb="0" eb="3">
      <t>ザイリョウヒ</t>
    </rPh>
    <phoneticPr fontId="3"/>
  </si>
  <si>
    <t>数量</t>
    <rPh sb="0" eb="2">
      <t>スウリョウ</t>
    </rPh>
    <phoneticPr fontId="3"/>
  </si>
  <si>
    <t>B 標準原価カード</t>
    <rPh sb="2" eb="4">
      <t>ヒョウジュン</t>
    </rPh>
    <rPh sb="4" eb="6">
      <t>ゲンカ</t>
    </rPh>
    <phoneticPr fontId="3"/>
  </si>
  <si>
    <t>A 標準原価カード</t>
    <rPh sb="2" eb="4">
      <t>ヒョウジュン</t>
    </rPh>
    <rPh sb="4" eb="6">
      <t>ゲンカ</t>
    </rPh>
    <phoneticPr fontId="3"/>
  </si>
  <si>
    <t>外部購入価格</t>
    <rPh sb="0" eb="2">
      <t>ガイブ</t>
    </rPh>
    <rPh sb="2" eb="4">
      <t>コウニュウ</t>
    </rPh>
    <rPh sb="4" eb="6">
      <t>カカク</t>
    </rPh>
    <phoneticPr fontId="3"/>
  </si>
  <si>
    <t>必要量</t>
    <rPh sb="0" eb="2">
      <t>ヒツヨウ</t>
    </rPh>
    <rPh sb="2" eb="3">
      <t>リョウ</t>
    </rPh>
    <phoneticPr fontId="3"/>
  </si>
  <si>
    <t>・簿記2級原価計算の知識がないと、この条件の読み取りはやや厳しい。</t>
    <rPh sb="1" eb="3">
      <t>ボキ</t>
    </rPh>
    <rPh sb="4" eb="5">
      <t>キュウ</t>
    </rPh>
    <rPh sb="5" eb="7">
      <t>ゲンカ</t>
    </rPh>
    <rPh sb="7" eb="9">
      <t>ケイサン</t>
    </rPh>
    <rPh sb="10" eb="12">
      <t>チシキ</t>
    </rPh>
    <rPh sb="19" eb="21">
      <t>ジョウケン</t>
    </rPh>
    <rPh sb="22" eb="23">
      <t>ヨ</t>
    </rPh>
    <rPh sb="24" eb="25">
      <t>ト</t>
    </rPh>
    <rPh sb="29" eb="30">
      <t>キビ</t>
    </rPh>
    <phoneticPr fontId="3"/>
  </si>
  <si>
    <t>・差額原価で求める問題。与えられた条件から、標準原価カードを使い製造原価を求めることが必要。</t>
    <rPh sb="1" eb="3">
      <t>サガク</t>
    </rPh>
    <rPh sb="3" eb="5">
      <t>ゲンカ</t>
    </rPh>
    <rPh sb="6" eb="7">
      <t>モト</t>
    </rPh>
    <rPh sb="9" eb="11">
      <t>モンダイ</t>
    </rPh>
    <phoneticPr fontId="3"/>
  </si>
  <si>
    <t>問題④</t>
    <rPh sb="0" eb="2">
      <t>モンダイ</t>
    </rPh>
    <phoneticPr fontId="3"/>
  </si>
  <si>
    <t>万円儲かる</t>
    <rPh sb="0" eb="2">
      <t>マンエン</t>
    </rPh>
    <rPh sb="2" eb="3">
      <t>モウ</t>
    </rPh>
    <phoneticPr fontId="3"/>
  </si>
  <si>
    <t>B'+C'で</t>
    <phoneticPr fontId="3"/>
  </si>
  <si>
    <t>(4)B'、C'で販売</t>
    <rPh sb="9" eb="11">
      <t>ハンバイ</t>
    </rPh>
    <phoneticPr fontId="3"/>
  </si>
  <si>
    <t>Xの方が</t>
    <rPh sb="2" eb="3">
      <t>ホウ</t>
    </rPh>
    <phoneticPr fontId="3"/>
  </si>
  <si>
    <t>追加加工費</t>
    <rPh sb="0" eb="2">
      <t>ツイカ</t>
    </rPh>
    <rPh sb="2" eb="4">
      <t>カコウ</t>
    </rPh>
    <rPh sb="4" eb="5">
      <t>ヒ</t>
    </rPh>
    <phoneticPr fontId="3"/>
  </si>
  <si>
    <t>B+C</t>
    <phoneticPr fontId="3"/>
  </si>
  <si>
    <t>X</t>
    <phoneticPr fontId="3"/>
  </si>
  <si>
    <t>(3)Xで販売</t>
    <rPh sb="5" eb="7">
      <t>ハンバイ</t>
    </rPh>
    <phoneticPr fontId="3"/>
  </si>
  <si>
    <t>C'の方が</t>
    <rPh sb="3" eb="4">
      <t>ホウ</t>
    </rPh>
    <phoneticPr fontId="3"/>
  </si>
  <si>
    <t>C'</t>
    <phoneticPr fontId="3"/>
  </si>
  <si>
    <t>(2)CでなくC'で販売</t>
    <rPh sb="10" eb="12">
      <t>ハンバイ</t>
    </rPh>
    <phoneticPr fontId="3"/>
  </si>
  <si>
    <t>B'の方が</t>
    <rPh sb="3" eb="4">
      <t>ホウ</t>
    </rPh>
    <phoneticPr fontId="3"/>
  </si>
  <si>
    <t>B'</t>
    <phoneticPr fontId="3"/>
  </si>
  <si>
    <t>(1)BでなくB'で販売</t>
    <rPh sb="10" eb="12">
      <t>ハンバイ</t>
    </rPh>
    <phoneticPr fontId="3"/>
  </si>
  <si>
    <t>それぞれ、差額がどう変化するかを求める</t>
    <rPh sb="5" eb="7">
      <t>サガク</t>
    </rPh>
    <rPh sb="10" eb="12">
      <t>ヘンカ</t>
    </rPh>
    <rPh sb="16" eb="17">
      <t>モト</t>
    </rPh>
    <phoneticPr fontId="3"/>
  </si>
  <si>
    <t>←配賦の仕方を変える。計算は比較的簡単。</t>
    <rPh sb="1" eb="3">
      <t>ハイフ</t>
    </rPh>
    <rPh sb="4" eb="6">
      <t>シカタ</t>
    </rPh>
    <rPh sb="7" eb="8">
      <t>カ</t>
    </rPh>
    <rPh sb="11" eb="13">
      <t>ケイサン</t>
    </rPh>
    <rPh sb="14" eb="17">
      <t>ヒカクテキ</t>
    </rPh>
    <rPh sb="17" eb="19">
      <t>カンタン</t>
    </rPh>
    <phoneticPr fontId="3"/>
  </si>
  <si>
    <t>売上総利益</t>
    <rPh sb="0" eb="2">
      <t>ウリアゲ</t>
    </rPh>
    <rPh sb="2" eb="5">
      <t>ソウリエキ</t>
    </rPh>
    <phoneticPr fontId="3"/>
  </si>
  <si>
    <t>製造工程Ⅱ原価</t>
    <rPh sb="0" eb="2">
      <t>セイゾウ</t>
    </rPh>
    <rPh sb="2" eb="4">
      <t>コウテイ</t>
    </rPh>
    <rPh sb="5" eb="7">
      <t>ゲンカ</t>
    </rPh>
    <phoneticPr fontId="3"/>
  </si>
  <si>
    <t>製造工程Ⅰ原価</t>
    <rPh sb="0" eb="2">
      <t>セイゾウ</t>
    </rPh>
    <rPh sb="2" eb="4">
      <t>コウテイ</t>
    </rPh>
    <rPh sb="5" eb="7">
      <t>ゲンカ</t>
    </rPh>
    <phoneticPr fontId="3"/>
  </si>
  <si>
    <t>分離点市価</t>
    <rPh sb="0" eb="2">
      <t>ブンリ</t>
    </rPh>
    <rPh sb="2" eb="3">
      <t>テン</t>
    </rPh>
    <rPh sb="3" eb="5">
      <t>シカ</t>
    </rPh>
    <phoneticPr fontId="3"/>
  </si>
  <si>
    <t>kg</t>
    <phoneticPr fontId="3"/>
  </si>
  <si>
    <t>重量</t>
    <rPh sb="0" eb="2">
      <t>ジュウリョウ</t>
    </rPh>
    <phoneticPr fontId="3"/>
  </si>
  <si>
    <t>円/kg</t>
    <rPh sb="0" eb="1">
      <t>エン</t>
    </rPh>
    <phoneticPr fontId="3"/>
  </si>
  <si>
    <t>分離点市価単価</t>
    <rPh sb="0" eb="2">
      <t>ブンリ</t>
    </rPh>
    <rPh sb="2" eb="3">
      <t>テン</t>
    </rPh>
    <rPh sb="3" eb="5">
      <t>シカ</t>
    </rPh>
    <rPh sb="5" eb="7">
      <t>タンカ</t>
    </rPh>
    <phoneticPr fontId="3"/>
  </si>
  <si>
    <t>B</t>
    <phoneticPr fontId="3"/>
  </si>
  <si>
    <t>X</t>
    <phoneticPr fontId="3"/>
  </si>
  <si>
    <t>分離点市価基準</t>
    <rPh sb="0" eb="2">
      <t>ブンリ</t>
    </rPh>
    <rPh sb="2" eb="3">
      <t>テン</t>
    </rPh>
    <rPh sb="3" eb="5">
      <t>シカ</t>
    </rPh>
    <rPh sb="5" eb="7">
      <t>キジュン</t>
    </rPh>
    <phoneticPr fontId="3"/>
  </si>
  <si>
    <t>←問題文指示の実現可能額で配賦。製造工程Ⅱ原価の配賦がやっかい</t>
    <rPh sb="1" eb="3">
      <t>モンダイ</t>
    </rPh>
    <rPh sb="3" eb="4">
      <t>ブン</t>
    </rPh>
    <rPh sb="4" eb="6">
      <t>シジ</t>
    </rPh>
    <rPh sb="7" eb="9">
      <t>ジツゲン</t>
    </rPh>
    <rPh sb="9" eb="12">
      <t>カノウガク</t>
    </rPh>
    <rPh sb="13" eb="15">
      <t>ハイフ</t>
    </rPh>
    <rPh sb="16" eb="18">
      <t>セイゾウ</t>
    </rPh>
    <rPh sb="18" eb="20">
      <t>コウテイ</t>
    </rPh>
    <rPh sb="21" eb="23">
      <t>ゲンカ</t>
    </rPh>
    <rPh sb="24" eb="26">
      <t>ハイフ</t>
    </rPh>
    <phoneticPr fontId="3"/>
  </si>
  <si>
    <t>見積正味実現可能価額 (2) 行程Ⅱ原価配賦後</t>
    <rPh sb="0" eb="2">
      <t>ミツ</t>
    </rPh>
    <rPh sb="2" eb="4">
      <t>ショウミ</t>
    </rPh>
    <rPh sb="4" eb="6">
      <t>ジツゲン</t>
    </rPh>
    <rPh sb="6" eb="8">
      <t>カノウ</t>
    </rPh>
    <rPh sb="8" eb="10">
      <t>カガク</t>
    </rPh>
    <rPh sb="15" eb="17">
      <t>コウテイ</t>
    </rPh>
    <rPh sb="18" eb="20">
      <t>ゲンカ</t>
    </rPh>
    <rPh sb="20" eb="22">
      <t>ハイフ</t>
    </rPh>
    <rPh sb="22" eb="23">
      <t>ゴ</t>
    </rPh>
    <phoneticPr fontId="3"/>
  </si>
  <si>
    <t>見積正味実現可能価額 (1)</t>
    <rPh sb="0" eb="2">
      <t>ミツ</t>
    </rPh>
    <rPh sb="2" eb="4">
      <t>ショウミ</t>
    </rPh>
    <rPh sb="4" eb="6">
      <t>ジツゲン</t>
    </rPh>
    <rPh sb="6" eb="8">
      <t>カノウ</t>
    </rPh>
    <rPh sb="8" eb="10">
      <t>カガク</t>
    </rPh>
    <phoneticPr fontId="3"/>
  </si>
  <si>
    <t>市価</t>
    <rPh sb="0" eb="2">
      <t>シカ</t>
    </rPh>
    <phoneticPr fontId="3"/>
  </si>
  <si>
    <t>見積正味実現可能価額基準</t>
    <rPh sb="0" eb="2">
      <t>ミツ</t>
    </rPh>
    <rPh sb="2" eb="4">
      <t>ショウミ</t>
    </rPh>
    <rPh sb="4" eb="6">
      <t>ジツゲン</t>
    </rPh>
    <rPh sb="6" eb="8">
      <t>カノウ</t>
    </rPh>
    <rPh sb="8" eb="10">
      <t>カガク</t>
    </rPh>
    <rPh sb="10" eb="12">
      <t>キジュン</t>
    </rPh>
    <phoneticPr fontId="3"/>
  </si>
  <si>
    <t>←重量基準で、シンプルに原価を配賦した場合の商品別損益</t>
    <rPh sb="1" eb="3">
      <t>ジュウリョウ</t>
    </rPh>
    <rPh sb="3" eb="5">
      <t>キジュン</t>
    </rPh>
    <rPh sb="12" eb="14">
      <t>ゲンカ</t>
    </rPh>
    <rPh sb="15" eb="17">
      <t>ハイフ</t>
    </rPh>
    <rPh sb="19" eb="21">
      <t>バアイ</t>
    </rPh>
    <rPh sb="22" eb="24">
      <t>ショウヒン</t>
    </rPh>
    <rPh sb="24" eb="25">
      <t>ベツ</t>
    </rPh>
    <rPh sb="25" eb="27">
      <t>ソンエキ</t>
    </rPh>
    <phoneticPr fontId="3"/>
  </si>
  <si>
    <t>売上総利益：円</t>
    <rPh sb="0" eb="2">
      <t>ウリアゲ</t>
    </rPh>
    <rPh sb="2" eb="5">
      <t>ソウリエキ</t>
    </rPh>
    <rPh sb="6" eb="7">
      <t>エン</t>
    </rPh>
    <phoneticPr fontId="3"/>
  </si>
  <si>
    <t>売上高：万円</t>
    <rPh sb="0" eb="2">
      <t>ウリアゲ</t>
    </rPh>
    <rPh sb="2" eb="3">
      <t>ダカ</t>
    </rPh>
    <rPh sb="4" eb="6">
      <t>マンエン</t>
    </rPh>
    <phoneticPr fontId="3"/>
  </si>
  <si>
    <t>単位当たり製造原価：円</t>
    <rPh sb="0" eb="2">
      <t>タンイ</t>
    </rPh>
    <rPh sb="2" eb="3">
      <t>ア</t>
    </rPh>
    <rPh sb="5" eb="7">
      <t>セイゾウ</t>
    </rPh>
    <rPh sb="7" eb="9">
      <t>ゲンカ</t>
    </rPh>
    <rPh sb="10" eb="11">
      <t>エン</t>
    </rPh>
    <phoneticPr fontId="3"/>
  </si>
  <si>
    <t>連結原価配賦額：万円</t>
    <rPh sb="0" eb="2">
      <t>レンケツ</t>
    </rPh>
    <rPh sb="2" eb="4">
      <t>ゲンカ</t>
    </rPh>
    <rPh sb="4" eb="6">
      <t>ハイフ</t>
    </rPh>
    <rPh sb="6" eb="7">
      <t>ガク</t>
    </rPh>
    <rPh sb="8" eb="10">
      <t>マンエン</t>
    </rPh>
    <phoneticPr fontId="3"/>
  </si>
  <si>
    <t>追加加工費：万円</t>
    <rPh sb="0" eb="2">
      <t>ツイカ</t>
    </rPh>
    <rPh sb="2" eb="4">
      <t>カコウ</t>
    </rPh>
    <rPh sb="4" eb="5">
      <t>ヒ</t>
    </rPh>
    <rPh sb="6" eb="8">
      <t>マンエン</t>
    </rPh>
    <phoneticPr fontId="3"/>
  </si>
  <si>
    <t>単位</t>
    <rPh sb="0" eb="2">
      <t>タンイ</t>
    </rPh>
    <phoneticPr fontId="3"/>
  </si>
  <si>
    <t>市場価格</t>
    <rPh sb="0" eb="2">
      <t>シジョウ</t>
    </rPh>
    <rPh sb="2" eb="4">
      <t>カカク</t>
    </rPh>
    <phoneticPr fontId="3"/>
  </si>
  <si>
    <t>B</t>
    <phoneticPr fontId="3"/>
  </si>
  <si>
    <t>単位：万円</t>
    <rPh sb="0" eb="2">
      <t>タンイ</t>
    </rPh>
    <rPh sb="3" eb="5">
      <t>マンエン</t>
    </rPh>
    <phoneticPr fontId="3"/>
  </si>
  <si>
    <t>・論点としては、例えば石油製品のように、1原料から複数製品を作る場合の原価を決める。でもやはり出ない。</t>
    <rPh sb="1" eb="3">
      <t>ロンテン</t>
    </rPh>
    <rPh sb="8" eb="9">
      <t>タト</t>
    </rPh>
    <rPh sb="11" eb="13">
      <t>セキユ</t>
    </rPh>
    <rPh sb="13" eb="15">
      <t>セイヒン</t>
    </rPh>
    <rPh sb="21" eb="23">
      <t>ゲンリョウ</t>
    </rPh>
    <rPh sb="25" eb="27">
      <t>フクスウ</t>
    </rPh>
    <rPh sb="27" eb="29">
      <t>セイヒン</t>
    </rPh>
    <rPh sb="30" eb="31">
      <t>ツク</t>
    </rPh>
    <rPh sb="32" eb="34">
      <t>バアイ</t>
    </rPh>
    <rPh sb="35" eb="37">
      <t>ゲンカ</t>
    </rPh>
    <rPh sb="38" eb="39">
      <t>キ</t>
    </rPh>
    <rPh sb="47" eb="48">
      <t>デ</t>
    </rPh>
    <phoneticPr fontId="3"/>
  </si>
  <si>
    <t>・追加加工、または連産品とは、1次｢財務｣の出題例がなく、従い｢2次｣でも問われない。</t>
    <rPh sb="1" eb="3">
      <t>ツイカ</t>
    </rPh>
    <rPh sb="3" eb="5">
      <t>カコウ</t>
    </rPh>
    <rPh sb="9" eb="10">
      <t>レン</t>
    </rPh>
    <rPh sb="10" eb="12">
      <t>サンピン</t>
    </rPh>
    <rPh sb="16" eb="17">
      <t>ジ</t>
    </rPh>
    <rPh sb="18" eb="20">
      <t>ザイム</t>
    </rPh>
    <rPh sb="22" eb="24">
      <t>シュツダイ</t>
    </rPh>
    <rPh sb="24" eb="25">
      <t>レイ</t>
    </rPh>
    <rPh sb="29" eb="30">
      <t>シタガ</t>
    </rPh>
    <rPh sb="31" eb="35">
      <t>２ジ</t>
    </rPh>
    <rPh sb="37" eb="38">
      <t>ト</t>
    </rPh>
    <phoneticPr fontId="3"/>
  </si>
  <si>
    <t>問題⑤</t>
    <rPh sb="0" eb="2">
      <t>モンダイ</t>
    </rPh>
    <phoneticPr fontId="3"/>
  </si>
  <si>
    <t>第1章 CASE6 追加加工</t>
    <rPh sb="0" eb="1">
      <t>ダイ</t>
    </rPh>
    <rPh sb="2" eb="3">
      <t>ショウ</t>
    </rPh>
    <rPh sb="10" eb="12">
      <t>ツイカ</t>
    </rPh>
    <rPh sb="12" eb="14">
      <t>カコウ</t>
    </rPh>
    <phoneticPr fontId="3"/>
  </si>
  <si>
    <t xml:space="preserve">  一般管理費</t>
    <rPh sb="2" eb="4">
      <t>イッパン</t>
    </rPh>
    <rPh sb="4" eb="7">
      <t>カンリヒ</t>
    </rPh>
    <phoneticPr fontId="3"/>
  </si>
  <si>
    <t xml:space="preserve">   減価償却費</t>
    <rPh sb="3" eb="5">
      <t>ゲンカ</t>
    </rPh>
    <rPh sb="5" eb="7">
      <t>ショウキャク</t>
    </rPh>
    <rPh sb="7" eb="8">
      <t>ヒ</t>
    </rPh>
    <phoneticPr fontId="3"/>
  </si>
  <si>
    <t xml:space="preserve">   給料</t>
    <rPh sb="3" eb="5">
      <t>キュウリョウ</t>
    </rPh>
    <phoneticPr fontId="3"/>
  </si>
  <si>
    <t>固定費(共通・・回避不能)</t>
    <rPh sb="0" eb="2">
      <t>コテイ</t>
    </rPh>
    <rPh sb="2" eb="3">
      <t>ヒ</t>
    </rPh>
    <rPh sb="4" eb="6">
      <t>キョウツウ</t>
    </rPh>
    <rPh sb="8" eb="10">
      <t>カイヒ</t>
    </rPh>
    <rPh sb="10" eb="12">
      <t>フノウ</t>
    </rPh>
    <phoneticPr fontId="3"/>
  </si>
  <si>
    <t xml:space="preserve">   逆にこの時点でマイナスなら、そのセグメントは廃止する方がマシ。</t>
    <rPh sb="3" eb="4">
      <t>ギャク</t>
    </rPh>
    <rPh sb="7" eb="9">
      <t>ジテン</t>
    </rPh>
    <rPh sb="25" eb="27">
      <t>ハイシ</t>
    </rPh>
    <rPh sb="29" eb="30">
      <t>ホウ</t>
    </rPh>
    <phoneticPr fontId="3"/>
  </si>
  <si>
    <t>←ここがプラスであれば、共通固定費の回収に貢献できるため、セグメントは残す。</t>
    <rPh sb="12" eb="14">
      <t>キョウツウ</t>
    </rPh>
    <rPh sb="14" eb="16">
      <t>コテイ</t>
    </rPh>
    <rPh sb="16" eb="17">
      <t>ヒ</t>
    </rPh>
    <rPh sb="18" eb="20">
      <t>カイシュウ</t>
    </rPh>
    <rPh sb="21" eb="23">
      <t>コウケン</t>
    </rPh>
    <rPh sb="35" eb="36">
      <t>ノコ</t>
    </rPh>
    <phoneticPr fontId="3"/>
  </si>
  <si>
    <t>共通固定費負担前営業利益</t>
    <rPh sb="0" eb="2">
      <t>キョウツウ</t>
    </rPh>
    <rPh sb="2" eb="4">
      <t>コテイ</t>
    </rPh>
    <rPh sb="4" eb="5">
      <t>ヒ</t>
    </rPh>
    <rPh sb="5" eb="7">
      <t>フタン</t>
    </rPh>
    <rPh sb="7" eb="8">
      <t>マエ</t>
    </rPh>
    <rPh sb="8" eb="10">
      <t>エイギョウ</t>
    </rPh>
    <rPh sb="10" eb="12">
      <t>リエキ</t>
    </rPh>
    <phoneticPr fontId="3"/>
  </si>
  <si>
    <t xml:space="preserve">   保険料</t>
    <rPh sb="3" eb="6">
      <t>ホケンリョウ</t>
    </rPh>
    <phoneticPr fontId="3"/>
  </si>
  <si>
    <t xml:space="preserve">   賃借料</t>
    <rPh sb="3" eb="6">
      <t>チンシャクリョウ</t>
    </rPh>
    <phoneticPr fontId="3"/>
  </si>
  <si>
    <t>固定費(回避可能)</t>
    <rPh sb="0" eb="2">
      <t>コテイ</t>
    </rPh>
    <rPh sb="2" eb="3">
      <t>ヒ</t>
    </rPh>
    <rPh sb="4" eb="6">
      <t>カイヒ</t>
    </rPh>
    <rPh sb="6" eb="8">
      <t>カノウ</t>
    </rPh>
    <phoneticPr fontId="3"/>
  </si>
  <si>
    <t>貢献利益</t>
    <rPh sb="0" eb="2">
      <t>コウケン</t>
    </rPh>
    <rPh sb="2" eb="4">
      <t>リエキ</t>
    </rPh>
    <phoneticPr fontId="3"/>
  </si>
  <si>
    <t>変動費</t>
    <rPh sb="0" eb="2">
      <t>ヘンドウ</t>
    </rPh>
    <rPh sb="2" eb="3">
      <t>ヒ</t>
    </rPh>
    <phoneticPr fontId="3"/>
  </si>
  <si>
    <t>製品C</t>
    <rPh sb="0" eb="2">
      <t>セイヒン</t>
    </rPh>
    <phoneticPr fontId="3"/>
  </si>
  <si>
    <t>・製品Cの固定費を、個別固定費⇔共通固定費に分け、共通固定費配賦前の営業利益がプラスなら、セグメントを残す。</t>
    <rPh sb="1" eb="3">
      <t>セイヒン</t>
    </rPh>
    <rPh sb="5" eb="7">
      <t>コテイ</t>
    </rPh>
    <rPh sb="7" eb="8">
      <t>ヒ</t>
    </rPh>
    <rPh sb="10" eb="12">
      <t>コベツ</t>
    </rPh>
    <rPh sb="12" eb="14">
      <t>コテイ</t>
    </rPh>
    <rPh sb="14" eb="15">
      <t>ヒ</t>
    </rPh>
    <rPh sb="16" eb="18">
      <t>キョウツウ</t>
    </rPh>
    <rPh sb="18" eb="20">
      <t>コテイ</t>
    </rPh>
    <rPh sb="20" eb="21">
      <t>ヒ</t>
    </rPh>
    <rPh sb="22" eb="23">
      <t>ワ</t>
    </rPh>
    <rPh sb="25" eb="27">
      <t>キョウツウ</t>
    </rPh>
    <rPh sb="27" eb="29">
      <t>コテイ</t>
    </rPh>
    <rPh sb="29" eb="30">
      <t>ヒ</t>
    </rPh>
    <rPh sb="30" eb="32">
      <t>ハイフ</t>
    </rPh>
    <rPh sb="32" eb="33">
      <t>マエ</t>
    </rPh>
    <rPh sb="34" eb="36">
      <t>エイギョウ</t>
    </rPh>
    <rPh sb="36" eb="38">
      <t>リエキ</t>
    </rPh>
    <rPh sb="51" eb="52">
      <t>ノコ</t>
    </rPh>
    <phoneticPr fontId="3"/>
  </si>
  <si>
    <t>問題⑥</t>
    <rPh sb="0" eb="2">
      <t>モンダイ</t>
    </rPh>
    <phoneticPr fontId="3"/>
  </si>
  <si>
    <t>第1章 CASE7 セグメントの存廃</t>
    <rPh sb="0" eb="1">
      <t>ダイ</t>
    </rPh>
    <rPh sb="2" eb="3">
      <t>ショウ</t>
    </rPh>
    <rPh sb="16" eb="18">
      <t>ソンパイ</t>
    </rPh>
    <phoneticPr fontId="3"/>
  </si>
  <si>
    <t>・・僅差で、外部倉庫を借りても200個ずつ発注する方が良い。</t>
    <rPh sb="2" eb="4">
      <t>キンサ</t>
    </rPh>
    <rPh sb="6" eb="8">
      <t>ガイブ</t>
    </rPh>
    <rPh sb="8" eb="10">
      <t>ソウコ</t>
    </rPh>
    <rPh sb="11" eb="12">
      <t>カ</t>
    </rPh>
    <rPh sb="18" eb="19">
      <t>コ</t>
    </rPh>
    <rPh sb="21" eb="23">
      <t>ハッチュウ</t>
    </rPh>
    <rPh sb="25" eb="26">
      <t>ホウ</t>
    </rPh>
    <rPh sb="27" eb="28">
      <t>ヨ</t>
    </rPh>
    <phoneticPr fontId="3"/>
  </si>
  <si>
    <t>計</t>
    <rPh sb="0" eb="1">
      <t>ケイ</t>
    </rPh>
    <phoneticPr fontId="3"/>
  </si>
  <si>
    <t>外部倉庫費用</t>
    <rPh sb="0" eb="2">
      <t>ガイブ</t>
    </rPh>
    <rPh sb="2" eb="4">
      <t>ソウコ</t>
    </rPh>
    <rPh sb="4" eb="6">
      <t>ヒヨウ</t>
    </rPh>
    <phoneticPr fontId="3"/>
  </si>
  <si>
    <t>保管費用</t>
    <rPh sb="0" eb="2">
      <t>ホカン</t>
    </rPh>
    <rPh sb="2" eb="4">
      <t>ヒヨウ</t>
    </rPh>
    <phoneticPr fontId="3"/>
  </si>
  <si>
    <t>発注費用</t>
    <rPh sb="0" eb="2">
      <t>ハッチュウ</t>
    </rPh>
    <rPh sb="2" eb="4">
      <t>ヒヨウ</t>
    </rPh>
    <phoneticPr fontId="3"/>
  </si>
  <si>
    <t>200個ずつ発注し、外部倉庫も借りる</t>
    <rPh sb="3" eb="4">
      <t>コ</t>
    </rPh>
    <rPh sb="6" eb="8">
      <t>ハッチュウ</t>
    </rPh>
    <rPh sb="10" eb="12">
      <t>ガイブ</t>
    </rPh>
    <rPh sb="12" eb="14">
      <t>ソウコ</t>
    </rPh>
    <rPh sb="15" eb="16">
      <t>カ</t>
    </rPh>
    <phoneticPr fontId="3"/>
  </si>
  <si>
    <t>125個ずつ発注</t>
    <rPh sb="3" eb="4">
      <t>コ</t>
    </rPh>
    <rPh sb="6" eb="8">
      <t>ハッチュウ</t>
    </rPh>
    <phoneticPr fontId="3"/>
  </si>
  <si>
    <t>・・2案の比較。甲案、乙案それぞれの発注費用、保管費用の総額を単純に求めて、比較</t>
    <rPh sb="3" eb="4">
      <t>アン</t>
    </rPh>
    <rPh sb="5" eb="7">
      <t>ヒカク</t>
    </rPh>
    <rPh sb="8" eb="9">
      <t>コウ</t>
    </rPh>
    <rPh sb="9" eb="10">
      <t>アン</t>
    </rPh>
    <rPh sb="11" eb="12">
      <t>オツ</t>
    </rPh>
    <rPh sb="12" eb="13">
      <t>アン</t>
    </rPh>
    <rPh sb="18" eb="20">
      <t>ハッチュウ</t>
    </rPh>
    <rPh sb="20" eb="22">
      <t>ヒヨウ</t>
    </rPh>
    <rPh sb="23" eb="25">
      <t>ホカン</t>
    </rPh>
    <rPh sb="25" eb="27">
      <t>ヒヨウ</t>
    </rPh>
    <rPh sb="28" eb="30">
      <t>ソウガク</t>
    </rPh>
    <rPh sb="31" eb="33">
      <t>タンジュン</t>
    </rPh>
    <rPh sb="34" eb="35">
      <t>モト</t>
    </rPh>
    <rPh sb="38" eb="40">
      <t>ヒカク</t>
    </rPh>
    <phoneticPr fontId="3"/>
  </si>
  <si>
    <t>この方程式を解くと、x＝</t>
    <rPh sb="2" eb="5">
      <t>ホウテイシキ</t>
    </rPh>
    <rPh sb="6" eb="7">
      <t>ト</t>
    </rPh>
    <phoneticPr fontId="3"/>
  </si>
  <si>
    <t>(500+500)×x/2</t>
    <phoneticPr fontId="3"/>
  </si>
  <si>
    <t>保管費用＝</t>
    <rPh sb="0" eb="2">
      <t>ホカン</t>
    </rPh>
    <rPh sb="2" eb="4">
      <t>ヒヨウ</t>
    </rPh>
    <phoneticPr fontId="3"/>
  </si>
  <si>
    <t>(300+1,700)×10,000／x</t>
    <phoneticPr fontId="3"/>
  </si>
  <si>
    <t>発注費用＝</t>
    <rPh sb="0" eb="2">
      <t>ハッチュウ</t>
    </rPh>
    <rPh sb="2" eb="4">
      <t>ヒヨウ</t>
    </rPh>
    <phoneticPr fontId="3"/>
  </si>
  <si>
    <t>発注量をxとおくと</t>
    <rPh sb="0" eb="2">
      <t>ハッチュウ</t>
    </rPh>
    <rPh sb="2" eb="3">
      <t>リョウ</t>
    </rPh>
    <phoneticPr fontId="3"/>
  </si>
  <si>
    <t>⑤⑥⑦・・・この3つは発注数量による変動はないので、EOQ計算では考慮しない。</t>
    <rPh sb="11" eb="13">
      <t>ハッチュウ</t>
    </rPh>
    <rPh sb="13" eb="15">
      <t>スウリョウ</t>
    </rPh>
    <rPh sb="18" eb="20">
      <t>ヘンドウ</t>
    </rPh>
    <rPh sb="29" eb="31">
      <t>ケイサン</t>
    </rPh>
    <rPh sb="33" eb="35">
      <t>コウリョ</t>
    </rPh>
    <phoneticPr fontId="3"/>
  </si>
  <si>
    <t>非関連原価</t>
    <rPh sb="0" eb="1">
      <t>ヒ</t>
    </rPh>
    <rPh sb="1" eb="3">
      <t>カンレン</t>
    </rPh>
    <rPh sb="3" eb="5">
      <t>ゲンカ</t>
    </rPh>
    <phoneticPr fontId="3"/>
  </si>
  <si>
    <t>⑧年間保管費</t>
    <rPh sb="1" eb="3">
      <t>ネンカン</t>
    </rPh>
    <rPh sb="3" eb="5">
      <t>ホカン</t>
    </rPh>
    <rPh sb="5" eb="6">
      <t>ヒ</t>
    </rPh>
    <phoneticPr fontId="3"/>
  </si>
  <si>
    <t>⑦火災保険料</t>
    <rPh sb="1" eb="3">
      <t>カサイ</t>
    </rPh>
    <rPh sb="3" eb="6">
      <t>ホケンリョウ</t>
    </rPh>
    <phoneticPr fontId="3"/>
  </si>
  <si>
    <t>保管料の計算</t>
    <rPh sb="0" eb="3">
      <t>ホカンリョウ</t>
    </rPh>
    <rPh sb="4" eb="6">
      <t>ケイサン</t>
    </rPh>
    <phoneticPr fontId="3"/>
  </si>
  <si>
    <t>④事務用消耗品</t>
    <rPh sb="1" eb="3">
      <t>ジム</t>
    </rPh>
    <rPh sb="3" eb="4">
      <t>ヨウ</t>
    </rPh>
    <rPh sb="4" eb="6">
      <t>ショウモウ</t>
    </rPh>
    <rPh sb="6" eb="7">
      <t>ヒン</t>
    </rPh>
    <phoneticPr fontId="3"/>
  </si>
  <si>
    <t>③電話料</t>
    <rPh sb="1" eb="4">
      <t>デンワリョウ</t>
    </rPh>
    <phoneticPr fontId="3"/>
  </si>
  <si>
    <t>発注費の計算</t>
    <rPh sb="0" eb="2">
      <t>ハッチュウ</t>
    </rPh>
    <rPh sb="2" eb="3">
      <t>ヒ</t>
    </rPh>
    <rPh sb="4" eb="6">
      <t>ケイサン</t>
    </rPh>
    <phoneticPr fontId="3"/>
  </si>
  <si>
    <t>②購入単価</t>
    <rPh sb="1" eb="3">
      <t>コウニュウ</t>
    </rPh>
    <rPh sb="3" eb="5">
      <t>タンカ</t>
    </rPh>
    <phoneticPr fontId="3"/>
  </si>
  <si>
    <t>①予定総消費量</t>
    <rPh sb="1" eb="3">
      <t>ヨテイ</t>
    </rPh>
    <rPh sb="3" eb="4">
      <t>ソウ</t>
    </rPh>
    <rPh sb="4" eb="7">
      <t>ショウヒリョウ</t>
    </rPh>
    <phoneticPr fontId="3"/>
  </si>
  <si>
    <t>計算条件</t>
    <rPh sb="0" eb="2">
      <t>ケイサン</t>
    </rPh>
    <rPh sb="2" eb="4">
      <t>ジョウケン</t>
    </rPh>
    <phoneticPr fontId="3"/>
  </si>
  <si>
    <t>・問2、問3は感度分析。条件をいろいろ変化され、儲かる・儲からないを調べる。計算条件を整理する練習。</t>
    <rPh sb="1" eb="2">
      <t>トイ</t>
    </rPh>
    <rPh sb="4" eb="5">
      <t>トイ</t>
    </rPh>
    <rPh sb="7" eb="9">
      <t>カンド</t>
    </rPh>
    <rPh sb="9" eb="11">
      <t>ブンセキ</t>
    </rPh>
    <rPh sb="12" eb="14">
      <t>ジョウケン</t>
    </rPh>
    <rPh sb="19" eb="21">
      <t>ヘンカ</t>
    </rPh>
    <rPh sb="24" eb="25">
      <t>モウ</t>
    </rPh>
    <rPh sb="28" eb="29">
      <t>モウ</t>
    </rPh>
    <rPh sb="34" eb="35">
      <t>シラ</t>
    </rPh>
    <rPh sb="38" eb="40">
      <t>ケイサン</t>
    </rPh>
    <rPh sb="40" eb="42">
      <t>ジョウケン</t>
    </rPh>
    <rPh sb="43" eb="45">
      <t>セイリ</t>
    </rPh>
    <rPh sb="47" eb="49">
      <t>レンシュウ</t>
    </rPh>
    <phoneticPr fontId="3"/>
  </si>
  <si>
    <t>・問1は経済的発注量EOQの基本問題。発注回数をxとおいて発注費用・在庫費用をそれぞれ求め、連立方程式で解く。</t>
    <rPh sb="1" eb="2">
      <t>トイ</t>
    </rPh>
    <rPh sb="4" eb="7">
      <t>ケイザイテキ</t>
    </rPh>
    <rPh sb="7" eb="10">
      <t>ハッチュウリョウ</t>
    </rPh>
    <rPh sb="14" eb="16">
      <t>キホン</t>
    </rPh>
    <rPh sb="16" eb="18">
      <t>モンダイ</t>
    </rPh>
    <rPh sb="19" eb="21">
      <t>ハッチュウ</t>
    </rPh>
    <rPh sb="21" eb="23">
      <t>カイスウ</t>
    </rPh>
    <rPh sb="29" eb="31">
      <t>ハッチュウ</t>
    </rPh>
    <rPh sb="31" eb="33">
      <t>ヒヨウ</t>
    </rPh>
    <rPh sb="34" eb="36">
      <t>ザイコ</t>
    </rPh>
    <rPh sb="36" eb="38">
      <t>ヒヨウ</t>
    </rPh>
    <rPh sb="43" eb="44">
      <t>モト</t>
    </rPh>
    <rPh sb="46" eb="48">
      <t>レンリツ</t>
    </rPh>
    <rPh sb="48" eb="51">
      <t>ホウテイシキ</t>
    </rPh>
    <rPh sb="52" eb="53">
      <t>ト</t>
    </rPh>
    <phoneticPr fontId="3"/>
  </si>
  <si>
    <t>問題⑦</t>
    <rPh sb="0" eb="2">
      <t>モンダイ</t>
    </rPh>
    <phoneticPr fontId="3"/>
  </si>
  <si>
    <t>第1章 CASE8 経済的発注量</t>
    <rPh sb="0" eb="1">
      <t>ダイ</t>
    </rPh>
    <rPh sb="2" eb="3">
      <t>ショウ</t>
    </rPh>
    <rPh sb="10" eb="13">
      <t>ケイザイテキ</t>
    </rPh>
    <rPh sb="13" eb="16">
      <t>ハッチュウリョウ</t>
    </rPh>
    <phoneticPr fontId="3"/>
  </si>
  <si>
    <t>NPV</t>
    <phoneticPr fontId="3"/>
  </si>
  <si>
    <t>CIF</t>
    <phoneticPr fontId="3"/>
  </si>
  <si>
    <t>T2</t>
    <phoneticPr fontId="3"/>
  </si>
  <si>
    <t>T0</t>
    <phoneticPr fontId="3"/>
  </si>
  <si>
    <t>T0</t>
    <phoneticPr fontId="3"/>
  </si>
  <si>
    <t>T3</t>
    <phoneticPr fontId="3"/>
  </si>
  <si>
    <t>T1</t>
    <phoneticPr fontId="3"/>
  </si>
  <si>
    <t>CIF</t>
    <phoneticPr fontId="3"/>
  </si>
  <si>
    <t>T3</t>
    <phoneticPr fontId="3"/>
  </si>
  <si>
    <t>T2</t>
    <phoneticPr fontId="3"/>
  </si>
  <si>
    <t>T1</t>
    <phoneticPr fontId="3"/>
  </si>
  <si>
    <t>T0</t>
    <phoneticPr fontId="3"/>
  </si>
  <si>
    <t>Y2</t>
    <phoneticPr fontId="3"/>
  </si>
  <si>
    <t>Y1</t>
    <phoneticPr fontId="3"/>
  </si>
  <si>
    <t>Y0</t>
    <phoneticPr fontId="3"/>
  </si>
  <si>
    <t>TS</t>
    <phoneticPr fontId="3"/>
  </si>
  <si>
    <t>Y4</t>
    <phoneticPr fontId="3"/>
  </si>
  <si>
    <t>Y0</t>
    <phoneticPr fontId="3"/>
  </si>
  <si>
    <t>Y-1</t>
    <phoneticPr fontId="3"/>
  </si>
  <si>
    <t>Y-1</t>
    <phoneticPr fontId="3"/>
  </si>
  <si>
    <t xml:space="preserve">個別論点/簿記コンボ  </t>
    <rPh sb="0" eb="2">
      <t>コベツ</t>
    </rPh>
    <rPh sb="2" eb="4">
      <t>ロンテン</t>
    </rPh>
    <rPh sb="5" eb="7">
      <t>ボキ</t>
    </rPh>
    <phoneticPr fontId="3"/>
  </si>
  <si>
    <t>問題⑮</t>
    <rPh sb="0" eb="2">
      <t>モンダイ</t>
    </rPh>
    <phoneticPr fontId="3"/>
  </si>
  <si>
    <t>問1 法人税支払を考慮しない毎年のCF</t>
    <rPh sb="0" eb="1">
      <t>ト</t>
    </rPh>
    <rPh sb="3" eb="6">
      <t>ホウジンゼイ</t>
    </rPh>
    <rPh sb="6" eb="8">
      <t>シハラ</t>
    </rPh>
    <rPh sb="9" eb="11">
      <t>コウリョ</t>
    </rPh>
    <rPh sb="14" eb="16">
      <t>マイトシ</t>
    </rPh>
    <phoneticPr fontId="3"/>
  </si>
  <si>
    <t>税引前手直し費</t>
    <rPh sb="0" eb="2">
      <t>ゼイビキ</t>
    </rPh>
    <rPh sb="3" eb="5">
      <t>テナオ</t>
    </rPh>
    <rPh sb="6" eb="7">
      <t>ヒ</t>
    </rPh>
    <phoneticPr fontId="3"/>
  </si>
  <si>
    <t>税引前検査コスト</t>
    <rPh sb="0" eb="2">
      <t>ゼイビキ</t>
    </rPh>
    <rPh sb="3" eb="5">
      <t>ケンサ</t>
    </rPh>
    <phoneticPr fontId="3"/>
  </si>
  <si>
    <t>税引前研修教育費</t>
    <rPh sb="0" eb="2">
      <t>ゼイビキ</t>
    </rPh>
    <rPh sb="3" eb="5">
      <t>ケンシュウ</t>
    </rPh>
    <rPh sb="5" eb="8">
      <t>キョウイクヒ</t>
    </rPh>
    <phoneticPr fontId="3"/>
  </si>
  <si>
    <t>税引前CF計</t>
    <rPh sb="0" eb="2">
      <t>ゼイビキ</t>
    </rPh>
    <rPh sb="5" eb="6">
      <t>ケイ</t>
    </rPh>
    <phoneticPr fontId="3"/>
  </si>
  <si>
    <t>売上・利益の減少(税引前)</t>
    <rPh sb="0" eb="2">
      <t>ウリアゲ</t>
    </rPh>
    <rPh sb="3" eb="5">
      <t>リエキ</t>
    </rPh>
    <rPh sb="6" eb="8">
      <t>ゲンショウ</t>
    </rPh>
    <rPh sb="9" eb="11">
      <t>ゼイビキ</t>
    </rPh>
    <phoneticPr fontId="3"/>
  </si>
  <si>
    <t>税引前クレームコスト</t>
    <rPh sb="0" eb="2">
      <t>ゼイビキ</t>
    </rPh>
    <phoneticPr fontId="3"/>
  </si>
  <si>
    <t>問3 NPVの計算と比較</t>
    <rPh sb="0" eb="1">
      <t>トイ</t>
    </rPh>
    <rPh sb="7" eb="9">
      <t>ケイサン</t>
    </rPh>
    <rPh sb="10" eb="12">
      <t>ヒカク</t>
    </rPh>
    <phoneticPr fontId="3"/>
  </si>
  <si>
    <t>現価係数</t>
    <rPh sb="0" eb="2">
      <t>ゲンカ</t>
    </rPh>
    <rPh sb="2" eb="4">
      <t>ケイスウ</t>
    </rPh>
    <phoneticPr fontId="3"/>
  </si>
  <si>
    <t>甲案のCIF</t>
    <rPh sb="0" eb="1">
      <t>コウ</t>
    </rPh>
    <rPh sb="1" eb="2">
      <t>アン</t>
    </rPh>
    <phoneticPr fontId="3"/>
  </si>
  <si>
    <t>NPV</t>
    <phoneticPr fontId="3"/>
  </si>
  <si>
    <t>乙案のCIF</t>
    <rPh sb="0" eb="1">
      <t>オツ</t>
    </rPh>
    <rPh sb="1" eb="2">
      <t>アン</t>
    </rPh>
    <phoneticPr fontId="3"/>
  </si>
  <si>
    <t>差額</t>
    <rPh sb="0" eb="2">
      <t>サガク</t>
    </rPh>
    <phoneticPr fontId="3"/>
  </si>
  <si>
    <t>甲案の方が</t>
    <rPh sb="0" eb="1">
      <t>コウ</t>
    </rPh>
    <rPh sb="1" eb="2">
      <t>アン</t>
    </rPh>
    <rPh sb="3" eb="4">
      <t>ホウ</t>
    </rPh>
    <phoneticPr fontId="3"/>
  </si>
  <si>
    <t>万円有利。</t>
    <rPh sb="0" eb="2">
      <t>マンエン</t>
    </rPh>
    <rPh sb="2" eb="4">
      <t>ユウリ</t>
    </rPh>
    <phoneticPr fontId="3"/>
  </si>
  <si>
    <t>問題⑰</t>
    <rPh sb="0" eb="2">
      <t>モンダイ</t>
    </rPh>
    <phoneticPr fontId="3"/>
  </si>
  <si>
    <t>・耐用年数が異なる投資案の比較は、NPV計算の応用問題としては定番。実感が湧きにくいが、2案の耐用年数の最小公倍数まで反復投資する仮定でNPVを比較する。</t>
    <rPh sb="1" eb="3">
      <t>タイヨウ</t>
    </rPh>
    <rPh sb="3" eb="5">
      <t>ネンスウ</t>
    </rPh>
    <rPh sb="6" eb="7">
      <t>コト</t>
    </rPh>
    <rPh sb="9" eb="11">
      <t>トウシ</t>
    </rPh>
    <rPh sb="11" eb="12">
      <t>アン</t>
    </rPh>
    <rPh sb="13" eb="15">
      <t>ヒカク</t>
    </rPh>
    <rPh sb="20" eb="22">
      <t>ケイサン</t>
    </rPh>
    <rPh sb="23" eb="25">
      <t>オウヨウ</t>
    </rPh>
    <rPh sb="25" eb="27">
      <t>モンダイ</t>
    </rPh>
    <rPh sb="31" eb="33">
      <t>テイバン</t>
    </rPh>
    <rPh sb="34" eb="36">
      <t>ジッカン</t>
    </rPh>
    <rPh sb="37" eb="38">
      <t>ワ</t>
    </rPh>
    <rPh sb="45" eb="46">
      <t>アン</t>
    </rPh>
    <rPh sb="47" eb="49">
      <t>タイヨウ</t>
    </rPh>
    <rPh sb="49" eb="51">
      <t>ネンスウ</t>
    </rPh>
    <rPh sb="52" eb="54">
      <t>サイショウ</t>
    </rPh>
    <rPh sb="54" eb="57">
      <t>コウバイスウ</t>
    </rPh>
    <rPh sb="59" eb="61">
      <t>ハンプク</t>
    </rPh>
    <rPh sb="61" eb="63">
      <t>トウシ</t>
    </rPh>
    <rPh sb="65" eb="67">
      <t>カテイ</t>
    </rPh>
    <rPh sb="72" eb="74">
      <t>ヒカク</t>
    </rPh>
    <phoneticPr fontId="3"/>
  </si>
  <si>
    <t>Y1</t>
    <phoneticPr fontId="3"/>
  </si>
  <si>
    <t>Y2</t>
    <phoneticPr fontId="3"/>
  </si>
  <si>
    <t>機械A</t>
    <rPh sb="0" eb="2">
      <t>キカイ</t>
    </rPh>
    <phoneticPr fontId="3"/>
  </si>
  <si>
    <t>①回目</t>
    <rPh sb="1" eb="3">
      <t>カイメ</t>
    </rPh>
    <phoneticPr fontId="3"/>
  </si>
  <si>
    <t>②回目</t>
    <rPh sb="1" eb="3">
      <t>カイメ</t>
    </rPh>
    <phoneticPr fontId="3"/>
  </si>
  <si>
    <t>③回目</t>
    <rPh sb="1" eb="3">
      <t>カイメ</t>
    </rPh>
    <phoneticPr fontId="3"/>
  </si>
  <si>
    <t>機械B</t>
    <rPh sb="0" eb="2">
      <t>キカイ</t>
    </rPh>
    <phoneticPr fontId="3"/>
  </si>
  <si>
    <t>機械の取得</t>
    <rPh sb="0" eb="2">
      <t>キカイ</t>
    </rPh>
    <rPh sb="3" eb="5">
      <t>シュトク</t>
    </rPh>
    <phoneticPr fontId="3"/>
  </si>
  <si>
    <t>機械の売却</t>
    <rPh sb="0" eb="2">
      <t>キカイ</t>
    </rPh>
    <rPh sb="3" eb="5">
      <t>バイキャク</t>
    </rPh>
    <phoneticPr fontId="3"/>
  </si>
  <si>
    <t>税引後現金支出費用</t>
    <rPh sb="0" eb="2">
      <t>ゼイビキ</t>
    </rPh>
    <rPh sb="2" eb="3">
      <t>ゴ</t>
    </rPh>
    <rPh sb="3" eb="5">
      <t>ゲンキン</t>
    </rPh>
    <rPh sb="5" eb="7">
      <t>シシュツ</t>
    </rPh>
    <rPh sb="7" eb="9">
      <t>ヒヨウ</t>
    </rPh>
    <phoneticPr fontId="3"/>
  </si>
  <si>
    <t>問1 WACCの計算</t>
    <rPh sb="0" eb="1">
      <t>トイ</t>
    </rPh>
    <rPh sb="8" eb="10">
      <t>ケイサン</t>
    </rPh>
    <phoneticPr fontId="3"/>
  </si>
  <si>
    <t>普通株</t>
    <rPh sb="0" eb="2">
      <t>フツウ</t>
    </rPh>
    <rPh sb="2" eb="3">
      <t>カブ</t>
    </rPh>
    <phoneticPr fontId="3"/>
  </si>
  <si>
    <t>問2 AB2案のNPVの比較</t>
    <rPh sb="0" eb="1">
      <t>トイ</t>
    </rPh>
    <rPh sb="6" eb="7">
      <t>アン</t>
    </rPh>
    <rPh sb="12" eb="14">
      <t>ヒカク</t>
    </rPh>
    <phoneticPr fontId="3"/>
  </si>
  <si>
    <t>問3 感度分析</t>
    <rPh sb="0" eb="1">
      <t>トイ</t>
    </rPh>
    <rPh sb="3" eb="5">
      <t>カンド</t>
    </rPh>
    <rPh sb="5" eb="7">
      <t>ブンセキ</t>
    </rPh>
    <phoneticPr fontId="3"/>
  </si>
  <si>
    <t>A案の方が</t>
    <rPh sb="1" eb="2">
      <t>アン</t>
    </rPh>
    <rPh sb="3" eb="4">
      <t>ホウ</t>
    </rPh>
    <phoneticPr fontId="3"/>
  </si>
  <si>
    <t>万円有利</t>
    <rPh sb="0" eb="2">
      <t>マンエン</t>
    </rPh>
    <rPh sb="2" eb="4">
      <t>ユウリ</t>
    </rPh>
    <phoneticPr fontId="3"/>
  </si>
  <si>
    <t>・問3は、当書で繰り返し問われる感度分析。優劣分岐のパターンでは、求める値をxとして方程式を解くことが鉄板。</t>
    <rPh sb="1" eb="2">
      <t>トイ</t>
    </rPh>
    <rPh sb="5" eb="6">
      <t>トウ</t>
    </rPh>
    <rPh sb="6" eb="7">
      <t>ショ</t>
    </rPh>
    <rPh sb="8" eb="9">
      <t>ク</t>
    </rPh>
    <rPh sb="10" eb="11">
      <t>カエ</t>
    </rPh>
    <rPh sb="12" eb="13">
      <t>ト</t>
    </rPh>
    <rPh sb="16" eb="18">
      <t>カンド</t>
    </rPh>
    <rPh sb="18" eb="20">
      <t>ブンセキ</t>
    </rPh>
    <rPh sb="21" eb="23">
      <t>ユウレツ</t>
    </rPh>
    <rPh sb="23" eb="25">
      <t>ブンキ</t>
    </rPh>
    <rPh sb="33" eb="34">
      <t>モト</t>
    </rPh>
    <rPh sb="36" eb="37">
      <t>アタイ</t>
    </rPh>
    <rPh sb="42" eb="45">
      <t>ホウテイシキ</t>
    </rPh>
    <rPh sb="46" eb="47">
      <t>ト</t>
    </rPh>
    <rPh sb="51" eb="53">
      <t>テッパン</t>
    </rPh>
    <phoneticPr fontId="3"/>
  </si>
  <si>
    <t>年金現価係数</t>
    <rPh sb="0" eb="2">
      <t>ネンキン</t>
    </rPh>
    <rPh sb="2" eb="4">
      <t>ゲンカ</t>
    </rPh>
    <rPh sb="4" eb="6">
      <t>ケイスウ</t>
    </rPh>
    <phoneticPr fontId="3"/>
  </si>
  <si>
    <t>現金支出費用のNPV</t>
    <rPh sb="0" eb="2">
      <t>ゲンキン</t>
    </rPh>
    <rPh sb="2" eb="4">
      <t>シシュツ</t>
    </rPh>
    <rPh sb="4" eb="6">
      <t>ヒヨウ</t>
    </rPh>
    <phoneticPr fontId="3"/>
  </si>
  <si>
    <t>x</t>
    <phoneticPr fontId="3"/>
  </si>
  <si>
    <t>求めるx</t>
    <rPh sb="0" eb="1">
      <t>モト</t>
    </rPh>
    <phoneticPr fontId="3"/>
  </si>
  <si>
    <t>→1,840万円以下であればA機械より有利。</t>
    <rPh sb="6" eb="8">
      <t>マンエン</t>
    </rPh>
    <rPh sb="8" eb="10">
      <t>イカ</t>
    </rPh>
    <rPh sb="15" eb="17">
      <t>キカイ</t>
    </rPh>
    <rPh sb="19" eb="21">
      <t>ユウリ</t>
    </rPh>
    <phoneticPr fontId="3"/>
  </si>
  <si>
    <t>第3章 CASE   品質原価計算</t>
    <rPh sb="0" eb="1">
      <t>ダイ</t>
    </rPh>
    <rPh sb="2" eb="3">
      <t>ショウ</t>
    </rPh>
    <rPh sb="11" eb="13">
      <t>ヒンシツ</t>
    </rPh>
    <rPh sb="13" eb="15">
      <t>ゲンカ</t>
    </rPh>
    <rPh sb="15" eb="17">
      <t>ケイサン</t>
    </rPh>
    <phoneticPr fontId="3"/>
  </si>
  <si>
    <t>問題⑱</t>
    <rPh sb="0" eb="2">
      <t>モンダイ</t>
    </rPh>
    <phoneticPr fontId="3"/>
  </si>
  <si>
    <t>・品質原価計算は、発生するコストを予防・評価・内部失敗・外部失敗の4つに分類し、狙った品質から見たコストの削減余地を考える論点。</t>
    <rPh sb="1" eb="3">
      <t>ヒンシツ</t>
    </rPh>
    <rPh sb="3" eb="5">
      <t>ゲンカ</t>
    </rPh>
    <rPh sb="5" eb="7">
      <t>ケイサン</t>
    </rPh>
    <rPh sb="9" eb="11">
      <t>ハッセイ</t>
    </rPh>
    <rPh sb="17" eb="19">
      <t>ヨボウ</t>
    </rPh>
    <rPh sb="20" eb="22">
      <t>ヒョウカ</t>
    </rPh>
    <rPh sb="23" eb="25">
      <t>ナイブ</t>
    </rPh>
    <rPh sb="25" eb="27">
      <t>シッパイ</t>
    </rPh>
    <rPh sb="28" eb="30">
      <t>ガイブ</t>
    </rPh>
    <rPh sb="30" eb="32">
      <t>シッパイ</t>
    </rPh>
    <rPh sb="36" eb="38">
      <t>ブンルイ</t>
    </rPh>
    <rPh sb="40" eb="41">
      <t>ネラ</t>
    </rPh>
    <rPh sb="43" eb="45">
      <t>ヒンシツ</t>
    </rPh>
    <rPh sb="47" eb="48">
      <t>ミ</t>
    </rPh>
    <rPh sb="53" eb="55">
      <t>サクゲン</t>
    </rPh>
    <rPh sb="55" eb="57">
      <t>ヨチ</t>
    </rPh>
    <rPh sb="58" eb="59">
      <t>カンガ</t>
    </rPh>
    <rPh sb="61" eb="63">
      <t>ロンテン</t>
    </rPh>
    <phoneticPr fontId="3"/>
  </si>
  <si>
    <t>・｢事例Ⅳ｣ではH  年に突然問われたことで周知されたが、次回いつ出題されるかは見当もつかない。</t>
    <rPh sb="2" eb="4">
      <t>ジレイ</t>
    </rPh>
    <rPh sb="11" eb="12">
      <t>ネン</t>
    </rPh>
    <rPh sb="13" eb="15">
      <t>トツゼン</t>
    </rPh>
    <rPh sb="15" eb="16">
      <t>ト</t>
    </rPh>
    <rPh sb="22" eb="24">
      <t>シュウチ</t>
    </rPh>
    <rPh sb="29" eb="31">
      <t>ジカイ</t>
    </rPh>
    <rPh sb="33" eb="35">
      <t>シュツダイ</t>
    </rPh>
    <rPh sb="40" eb="42">
      <t>ケントウ</t>
    </rPh>
    <phoneticPr fontId="3"/>
  </si>
  <si>
    <t>当エクセルでは各費用を分類し、SUMIFで集計してコストの増減を見る。</t>
    <rPh sb="0" eb="1">
      <t>トウ</t>
    </rPh>
    <rPh sb="7" eb="8">
      <t>カク</t>
    </rPh>
    <rPh sb="8" eb="10">
      <t>ヒヨウ</t>
    </rPh>
    <rPh sb="11" eb="13">
      <t>ブンルイ</t>
    </rPh>
    <rPh sb="21" eb="23">
      <t>シュウケイ</t>
    </rPh>
    <rPh sb="29" eb="31">
      <t>ゾウゲン</t>
    </rPh>
    <rPh sb="32" eb="33">
      <t>ミ</t>
    </rPh>
    <phoneticPr fontId="3"/>
  </si>
  <si>
    <t>他社製品品質調査費</t>
    <rPh sb="0" eb="2">
      <t>タシャ</t>
    </rPh>
    <rPh sb="2" eb="4">
      <t>セイヒン</t>
    </rPh>
    <rPh sb="4" eb="6">
      <t>ヒンシツ</t>
    </rPh>
    <rPh sb="6" eb="8">
      <t>チョウサ</t>
    </rPh>
    <rPh sb="8" eb="9">
      <t>ヒ</t>
    </rPh>
    <phoneticPr fontId="3"/>
  </si>
  <si>
    <t>始めは間違えて良いので、ここは答をカンニングし、少しずつ費用⇔コスト分類の対応イメージを掴む。※費用名はいくらでも作れるので、暗記してもダメ。</t>
    <rPh sb="0" eb="1">
      <t>ハジ</t>
    </rPh>
    <rPh sb="3" eb="5">
      <t>マチガ</t>
    </rPh>
    <rPh sb="7" eb="8">
      <t>ヨ</t>
    </rPh>
    <rPh sb="15" eb="16">
      <t>コタ</t>
    </rPh>
    <rPh sb="24" eb="25">
      <t>スコ</t>
    </rPh>
    <rPh sb="28" eb="30">
      <t>ヒヨウ</t>
    </rPh>
    <rPh sb="34" eb="36">
      <t>ブンルイ</t>
    </rPh>
    <rPh sb="37" eb="39">
      <t>タイオウ</t>
    </rPh>
    <rPh sb="44" eb="45">
      <t>ツカ</t>
    </rPh>
    <rPh sb="48" eb="50">
      <t>ヒヨウ</t>
    </rPh>
    <rPh sb="50" eb="51">
      <t>メイ</t>
    </rPh>
    <rPh sb="57" eb="58">
      <t>ツク</t>
    </rPh>
    <rPh sb="63" eb="65">
      <t>アンキ</t>
    </rPh>
    <phoneticPr fontId="3"/>
  </si>
  <si>
    <t>受入材料検査費</t>
    <rPh sb="0" eb="2">
      <t>ウケイレ</t>
    </rPh>
    <rPh sb="2" eb="4">
      <t>ザイリョウ</t>
    </rPh>
    <rPh sb="4" eb="6">
      <t>ケンサ</t>
    </rPh>
    <rPh sb="6" eb="7">
      <t>ヒ</t>
    </rPh>
    <phoneticPr fontId="3"/>
  </si>
  <si>
    <t>仕損費</t>
    <rPh sb="0" eb="2">
      <t>シソン</t>
    </rPh>
    <rPh sb="2" eb="3">
      <t>ヒ</t>
    </rPh>
    <phoneticPr fontId="3"/>
  </si>
  <si>
    <t>不良品手直費</t>
    <rPh sb="0" eb="1">
      <t>フ</t>
    </rPh>
    <rPh sb="1" eb="3">
      <t>リョウヒン</t>
    </rPh>
    <rPh sb="3" eb="5">
      <t>テナオ</t>
    </rPh>
    <rPh sb="5" eb="6">
      <t>ヒ</t>
    </rPh>
    <phoneticPr fontId="3"/>
  </si>
  <si>
    <t>販売製品補修費</t>
    <rPh sb="0" eb="2">
      <t>ハンバイ</t>
    </rPh>
    <rPh sb="2" eb="4">
      <t>セイヒン</t>
    </rPh>
    <rPh sb="4" eb="6">
      <t>ホシュウ</t>
    </rPh>
    <rPh sb="6" eb="7">
      <t>ヒ</t>
    </rPh>
    <phoneticPr fontId="3"/>
  </si>
  <si>
    <t>製品設計改善費</t>
    <rPh sb="0" eb="2">
      <t>セイヒン</t>
    </rPh>
    <rPh sb="2" eb="4">
      <t>セッケイ</t>
    </rPh>
    <rPh sb="4" eb="7">
      <t>カイゼンヒ</t>
    </rPh>
    <phoneticPr fontId="3"/>
  </si>
  <si>
    <t>工程完成品検査費</t>
    <rPh sb="0" eb="2">
      <t>コウテイ</t>
    </rPh>
    <rPh sb="2" eb="5">
      <t>カンセイヒン</t>
    </rPh>
    <rPh sb="5" eb="7">
      <t>ケンサ</t>
    </rPh>
    <rPh sb="7" eb="8">
      <t>ヒ</t>
    </rPh>
    <phoneticPr fontId="3"/>
  </si>
  <si>
    <t>品質保証教育費</t>
    <rPh sb="0" eb="2">
      <t>ヒンシツ</t>
    </rPh>
    <rPh sb="2" eb="4">
      <t>ホショウ</t>
    </rPh>
    <rPh sb="4" eb="7">
      <t>キョウイクヒ</t>
    </rPh>
    <phoneticPr fontId="3"/>
  </si>
  <si>
    <t>返品廃棄処分費</t>
    <rPh sb="0" eb="2">
      <t>ヘンピン</t>
    </rPh>
    <rPh sb="2" eb="4">
      <t>ハイキ</t>
    </rPh>
    <rPh sb="4" eb="6">
      <t>ショブン</t>
    </rPh>
    <rPh sb="6" eb="7">
      <t>ヒ</t>
    </rPh>
    <phoneticPr fontId="3"/>
  </si>
  <si>
    <t>製品出荷検査費</t>
    <rPh sb="0" eb="2">
      <t>セイヒン</t>
    </rPh>
    <rPh sb="2" eb="4">
      <t>シュッカ</t>
    </rPh>
    <rPh sb="4" eb="6">
      <t>ケンサ</t>
    </rPh>
    <rPh sb="6" eb="7">
      <t>ヒ</t>
    </rPh>
    <phoneticPr fontId="3"/>
  </si>
  <si>
    <t>20X1年</t>
    <rPh sb="4" eb="5">
      <t>ネン</t>
    </rPh>
    <phoneticPr fontId="3"/>
  </si>
  <si>
    <t>20X5年</t>
    <rPh sb="4" eb="5">
      <t>ネン</t>
    </rPh>
    <phoneticPr fontId="3"/>
  </si>
  <si>
    <t>①予防原価</t>
    <rPh sb="1" eb="3">
      <t>ヨボウ</t>
    </rPh>
    <rPh sb="3" eb="5">
      <t>ゲンカ</t>
    </rPh>
    <phoneticPr fontId="3"/>
  </si>
  <si>
    <t>②評価原価</t>
    <rPh sb="1" eb="3">
      <t>ヒョウカ</t>
    </rPh>
    <rPh sb="3" eb="5">
      <t>ゲンカ</t>
    </rPh>
    <phoneticPr fontId="3"/>
  </si>
  <si>
    <t>④内部失敗原価</t>
    <rPh sb="1" eb="3">
      <t>ナイブ</t>
    </rPh>
    <rPh sb="3" eb="5">
      <t>シッパイ</t>
    </rPh>
    <rPh sb="5" eb="7">
      <t>ゲンカ</t>
    </rPh>
    <phoneticPr fontId="3"/>
  </si>
  <si>
    <t>⑤外部失敗原価</t>
    <rPh sb="1" eb="3">
      <t>ガイブ</t>
    </rPh>
    <rPh sb="3" eb="5">
      <t>シッパイ</t>
    </rPh>
    <rPh sb="5" eb="7">
      <t>ゲンカ</t>
    </rPh>
    <phoneticPr fontId="3"/>
  </si>
  <si>
    <t>↓ここを手書き</t>
    <rPh sb="4" eb="6">
      <t>テガ</t>
    </rPh>
    <phoneticPr fontId="3"/>
  </si>
  <si>
    <t>小計</t>
    <rPh sb="0" eb="2">
      <t>ショウケイ</t>
    </rPh>
    <phoneticPr fontId="3"/>
  </si>
  <si>
    <t>増減</t>
    <rPh sb="0" eb="2">
      <t>ゾウゲン</t>
    </rPh>
    <phoneticPr fontId="3"/>
  </si>
  <si>
    <t>・活動基準原価計算は、イケカコや意思決定会計で扱うが、当試験では｢運営｣の物流センター論点であり、その流れで｢事例Ⅳ｣出題可能性がある。</t>
    <rPh sb="1" eb="3">
      <t>カツドウ</t>
    </rPh>
    <rPh sb="3" eb="5">
      <t>キジュン</t>
    </rPh>
    <rPh sb="5" eb="7">
      <t>ゲンカ</t>
    </rPh>
    <rPh sb="7" eb="9">
      <t>ケイサン</t>
    </rPh>
    <rPh sb="16" eb="18">
      <t>イシ</t>
    </rPh>
    <rPh sb="18" eb="20">
      <t>ケッテイ</t>
    </rPh>
    <rPh sb="20" eb="22">
      <t>カイケイ</t>
    </rPh>
    <rPh sb="23" eb="24">
      <t>アツカ</t>
    </rPh>
    <rPh sb="27" eb="28">
      <t>トウ</t>
    </rPh>
    <rPh sb="28" eb="30">
      <t>シケン</t>
    </rPh>
    <rPh sb="33" eb="35">
      <t>ウンエイ</t>
    </rPh>
    <rPh sb="37" eb="39">
      <t>ブツリュウ</t>
    </rPh>
    <rPh sb="43" eb="45">
      <t>ロンテン</t>
    </rPh>
    <rPh sb="51" eb="52">
      <t>ナガ</t>
    </rPh>
    <rPh sb="55" eb="57">
      <t>ジレイ</t>
    </rPh>
    <rPh sb="59" eb="61">
      <t>シュツダイ</t>
    </rPh>
    <rPh sb="61" eb="64">
      <t>カノウセイ</t>
    </rPh>
    <phoneticPr fontId="3"/>
  </si>
  <si>
    <t>・解き方としては、問題文の指示通りにコストを計算するだけ。伝統的な原価配賦よりも、正確・納得性が高いとの理屈を知っておけば、あとは現場対応でなんとかなる。</t>
    <rPh sb="1" eb="2">
      <t>ト</t>
    </rPh>
    <rPh sb="3" eb="4">
      <t>カタ</t>
    </rPh>
    <rPh sb="9" eb="12">
      <t>モンダイブン</t>
    </rPh>
    <rPh sb="13" eb="15">
      <t>シジ</t>
    </rPh>
    <rPh sb="15" eb="16">
      <t>トオ</t>
    </rPh>
    <rPh sb="22" eb="24">
      <t>ケイサン</t>
    </rPh>
    <rPh sb="29" eb="32">
      <t>デントウテキ</t>
    </rPh>
    <rPh sb="33" eb="35">
      <t>ゲンカ</t>
    </rPh>
    <rPh sb="35" eb="37">
      <t>ハイフ</t>
    </rPh>
    <rPh sb="41" eb="43">
      <t>セイカク</t>
    </rPh>
    <rPh sb="44" eb="47">
      <t>ナットクセイ</t>
    </rPh>
    <rPh sb="48" eb="49">
      <t>タカ</t>
    </rPh>
    <rPh sb="52" eb="54">
      <t>リクツ</t>
    </rPh>
    <rPh sb="55" eb="56">
      <t>シ</t>
    </rPh>
    <rPh sb="65" eb="67">
      <t>ゲンバ</t>
    </rPh>
    <rPh sb="67" eb="69">
      <t>タイオウ</t>
    </rPh>
    <phoneticPr fontId="3"/>
  </si>
  <si>
    <t>製品B</t>
    <rPh sb="0" eb="2">
      <t>セイヒン</t>
    </rPh>
    <phoneticPr fontId="3"/>
  </si>
  <si>
    <t>直接材料費</t>
    <rPh sb="0" eb="2">
      <t>チョクセツ</t>
    </rPh>
    <rPh sb="2" eb="5">
      <t>ザイリョウヒ</t>
    </rPh>
    <phoneticPr fontId="3"/>
  </si>
  <si>
    <t>直接労務費</t>
    <rPh sb="0" eb="2">
      <t>チョクセツ</t>
    </rPh>
    <rPh sb="2" eb="5">
      <t>ロウムヒ</t>
    </rPh>
    <phoneticPr fontId="3"/>
  </si>
  <si>
    <t>販売数量割合</t>
    <rPh sb="0" eb="2">
      <t>ハンバイ</t>
    </rPh>
    <rPh sb="2" eb="4">
      <t>スウリョウ</t>
    </rPh>
    <rPh sb="4" eb="6">
      <t>ワリアイ</t>
    </rPh>
    <phoneticPr fontId="3"/>
  </si>
  <si>
    <t>問1 組製品の前提から、製品別生産・販売量を逆算</t>
    <rPh sb="0" eb="1">
      <t>トイ</t>
    </rPh>
    <rPh sb="3" eb="4">
      <t>クミ</t>
    </rPh>
    <rPh sb="4" eb="6">
      <t>セイヒン</t>
    </rPh>
    <rPh sb="7" eb="9">
      <t>ゼンテイ</t>
    </rPh>
    <rPh sb="12" eb="14">
      <t>セイヒン</t>
    </rPh>
    <rPh sb="14" eb="15">
      <t>ベツ</t>
    </rPh>
    <rPh sb="15" eb="17">
      <t>セイサン</t>
    </rPh>
    <rPh sb="18" eb="20">
      <t>ハンバイ</t>
    </rPh>
    <rPh sb="20" eb="21">
      <t>リョウ</t>
    </rPh>
    <rPh sb="22" eb="24">
      <t>ギャクサン</t>
    </rPh>
    <phoneticPr fontId="3"/>
  </si>
  <si>
    <t>組製品の単価</t>
    <rPh sb="0" eb="1">
      <t>クミ</t>
    </rPh>
    <rPh sb="1" eb="3">
      <t>セイヒン</t>
    </rPh>
    <rPh sb="4" eb="6">
      <t>タンカ</t>
    </rPh>
    <phoneticPr fontId="3"/>
  </si>
  <si>
    <t>セット数</t>
    <rPh sb="3" eb="4">
      <t>スウ</t>
    </rPh>
    <phoneticPr fontId="3"/>
  </si>
  <si>
    <t>年間計画生産・販売数量</t>
    <rPh sb="0" eb="2">
      <t>ネンカン</t>
    </rPh>
    <rPh sb="2" eb="4">
      <t>ケイカク</t>
    </rPh>
    <rPh sb="4" eb="6">
      <t>セイサン</t>
    </rPh>
    <rPh sb="7" eb="9">
      <t>ハンバイ</t>
    </rPh>
    <rPh sb="9" eb="11">
      <t>スウリョウ</t>
    </rPh>
    <phoneticPr fontId="3"/>
  </si>
  <si>
    <t>年間予算売上額</t>
    <rPh sb="0" eb="2">
      <t>ネンカン</t>
    </rPh>
    <rPh sb="2" eb="4">
      <t>ヨサン</t>
    </rPh>
    <rPh sb="4" eb="6">
      <t>ウリアゲ</t>
    </rPh>
    <rPh sb="6" eb="7">
      <t>ガク</t>
    </rPh>
    <phoneticPr fontId="3"/>
  </si>
  <si>
    <t>製造間接費等年間予算額</t>
    <rPh sb="0" eb="2">
      <t>セイゾウ</t>
    </rPh>
    <rPh sb="2" eb="4">
      <t>カンセツ</t>
    </rPh>
    <rPh sb="4" eb="5">
      <t>ヒ</t>
    </rPh>
    <rPh sb="5" eb="6">
      <t>トウ</t>
    </rPh>
    <rPh sb="6" eb="8">
      <t>ネンカン</t>
    </rPh>
    <rPh sb="8" eb="10">
      <t>ヨサン</t>
    </rPh>
    <rPh sb="10" eb="11">
      <t>ガク</t>
    </rPh>
    <phoneticPr fontId="3"/>
  </si>
  <si>
    <t>各製品の単位あたり総原価</t>
    <rPh sb="0" eb="3">
      <t>カクセイヒン</t>
    </rPh>
    <rPh sb="4" eb="6">
      <t>タンイ</t>
    </rPh>
    <rPh sb="9" eb="12">
      <t>ソウゲンカ</t>
    </rPh>
    <phoneticPr fontId="3"/>
  </si>
  <si>
    <t>製品別の年間営業利益総額</t>
    <rPh sb="0" eb="2">
      <t>セイヒン</t>
    </rPh>
    <rPh sb="2" eb="3">
      <t>ベツ</t>
    </rPh>
    <rPh sb="4" eb="6">
      <t>ネンカン</t>
    </rPh>
    <rPh sb="6" eb="8">
      <t>エイギョウ</t>
    </rPh>
    <rPh sb="8" eb="10">
      <t>リエキ</t>
    </rPh>
    <rPh sb="10" eb="12">
      <t>ソウガク</t>
    </rPh>
    <phoneticPr fontId="3"/>
  </si>
  <si>
    <t>売上高営業利益率</t>
    <rPh sb="0" eb="2">
      <t>ウリアゲ</t>
    </rPh>
    <rPh sb="2" eb="3">
      <t>ダカ</t>
    </rPh>
    <rPh sb="3" eb="5">
      <t>エイギョウ</t>
    </rPh>
    <rPh sb="5" eb="7">
      <t>リエキ</t>
    </rPh>
    <rPh sb="7" eb="8">
      <t>リツ</t>
    </rPh>
    <phoneticPr fontId="3"/>
  </si>
  <si>
    <t>直接作業時間</t>
    <rPh sb="0" eb="2">
      <t>チョクセツ</t>
    </rPh>
    <rPh sb="2" eb="4">
      <t>サギョウ</t>
    </rPh>
    <rPh sb="4" eb="6">
      <t>ジカン</t>
    </rPh>
    <phoneticPr fontId="3"/>
  </si>
  <si>
    <t>製造間接費他</t>
    <rPh sb="0" eb="2">
      <t>セイゾウ</t>
    </rPh>
    <rPh sb="2" eb="4">
      <t>カンセツ</t>
    </rPh>
    <rPh sb="4" eb="5">
      <t>ヒ</t>
    </rPh>
    <rPh sb="5" eb="6">
      <t>ホカ</t>
    </rPh>
    <phoneticPr fontId="3"/>
  </si>
  <si>
    <t>製品別PL</t>
    <rPh sb="0" eb="2">
      <t>セイヒン</t>
    </rPh>
    <rPh sb="2" eb="3">
      <t>ベツ</t>
    </rPh>
    <phoneticPr fontId="3"/>
  </si>
  <si>
    <t>原価計(単位あたり)</t>
    <rPh sb="0" eb="2">
      <t>ゲンカ</t>
    </rPh>
    <rPh sb="2" eb="3">
      <t>ケイ</t>
    </rPh>
    <rPh sb="4" eb="6">
      <t>タンイ</t>
    </rPh>
    <phoneticPr fontId="3"/>
  </si>
  <si>
    <t>←予定配賦率から単価を求める</t>
    <rPh sb="1" eb="3">
      <t>ヨテイ</t>
    </rPh>
    <rPh sb="3" eb="5">
      <t>ハイフ</t>
    </rPh>
    <rPh sb="5" eb="6">
      <t>リツ</t>
    </rPh>
    <rPh sb="8" eb="10">
      <t>タンカ</t>
    </rPh>
    <rPh sb="11" eb="12">
      <t>モト</t>
    </rPh>
    <phoneticPr fontId="3"/>
  </si>
  <si>
    <t>製造間接費計</t>
    <rPh sb="0" eb="2">
      <t>セイゾウ</t>
    </rPh>
    <rPh sb="2" eb="4">
      <t>カンセツ</t>
    </rPh>
    <rPh sb="4" eb="5">
      <t>ヒ</t>
    </rPh>
    <rPh sb="5" eb="6">
      <t>ケイ</t>
    </rPh>
    <phoneticPr fontId="3"/>
  </si>
  <si>
    <t>活動ドライバー</t>
    <rPh sb="0" eb="2">
      <t>カツドウ</t>
    </rPh>
    <phoneticPr fontId="3"/>
  </si>
  <si>
    <t>ｈ</t>
    <phoneticPr fontId="3"/>
  </si>
  <si>
    <t>ｈ/台</t>
    <rPh sb="2" eb="3">
      <t>ダイ</t>
    </rPh>
    <phoneticPr fontId="3"/>
  </si>
  <si>
    <t>回</t>
    <rPh sb="0" eb="1">
      <t>カイ</t>
    </rPh>
    <phoneticPr fontId="3"/>
  </si>
  <si>
    <t>h</t>
    <phoneticPr fontId="3"/>
  </si>
  <si>
    <t>h</t>
    <phoneticPr fontId="3"/>
  </si>
  <si>
    <t>①機械作業CP</t>
    <rPh sb="1" eb="3">
      <t>キカイ</t>
    </rPh>
    <rPh sb="3" eb="5">
      <t>サギョウ</t>
    </rPh>
    <phoneticPr fontId="3"/>
  </si>
  <si>
    <t>②段取作業CP</t>
    <rPh sb="1" eb="3">
      <t>ダンド</t>
    </rPh>
    <rPh sb="3" eb="5">
      <t>サギョウ</t>
    </rPh>
    <phoneticPr fontId="3"/>
  </si>
  <si>
    <t>③生産技術CP</t>
    <rPh sb="1" eb="3">
      <t>セイサン</t>
    </rPh>
    <rPh sb="3" eb="5">
      <t>ギジュツ</t>
    </rPh>
    <phoneticPr fontId="3"/>
  </si>
  <si>
    <t>④材料倉庫CP</t>
    <rPh sb="1" eb="3">
      <t>ザイリョウ</t>
    </rPh>
    <rPh sb="3" eb="5">
      <t>ソウコ</t>
    </rPh>
    <phoneticPr fontId="3"/>
  </si>
  <si>
    <t>⑤品質保証CP</t>
    <rPh sb="1" eb="3">
      <t>ヒンシツ</t>
    </rPh>
    <rPh sb="3" eb="5">
      <t>ホショウ</t>
    </rPh>
    <phoneticPr fontId="3"/>
  </si>
  <si>
    <t>⑥包装出荷CP</t>
    <rPh sb="1" eb="3">
      <t>ホウソウ</t>
    </rPh>
    <rPh sb="3" eb="5">
      <t>シュッカ</t>
    </rPh>
    <phoneticPr fontId="3"/>
  </si>
  <si>
    <t>⑦管理活動CP</t>
    <rPh sb="1" eb="3">
      <t>カンリ</t>
    </rPh>
    <rPh sb="3" eb="5">
      <t>カツドウ</t>
    </rPh>
    <phoneticPr fontId="3"/>
  </si>
  <si>
    <t>←</t>
    <phoneticPr fontId="3"/>
  </si>
  <si>
    <t>A 直接作業時間</t>
    <rPh sb="2" eb="4">
      <t>チョクセツ</t>
    </rPh>
    <rPh sb="4" eb="6">
      <t>サギョウ</t>
    </rPh>
    <rPh sb="6" eb="8">
      <t>ジカン</t>
    </rPh>
    <phoneticPr fontId="3"/>
  </si>
  <si>
    <t>B 段取時間</t>
    <rPh sb="2" eb="4">
      <t>ダンド</t>
    </rPh>
    <rPh sb="4" eb="6">
      <t>ジカン</t>
    </rPh>
    <phoneticPr fontId="3"/>
  </si>
  <si>
    <t>C 製品仕様書作成時間</t>
    <rPh sb="2" eb="4">
      <t>セイヒン</t>
    </rPh>
    <rPh sb="4" eb="7">
      <t>シヨウショ</t>
    </rPh>
    <rPh sb="7" eb="9">
      <t>サクセイ</t>
    </rPh>
    <rPh sb="9" eb="11">
      <t>ジカン</t>
    </rPh>
    <phoneticPr fontId="3"/>
  </si>
  <si>
    <t>D 機械運転時間</t>
    <rPh sb="2" eb="4">
      <t>キカイ</t>
    </rPh>
    <rPh sb="4" eb="6">
      <t>ウンテン</t>
    </rPh>
    <rPh sb="6" eb="8">
      <t>ジカン</t>
    </rPh>
    <phoneticPr fontId="3"/>
  </si>
  <si>
    <t>E 直接材料出庫金額</t>
    <rPh sb="2" eb="4">
      <t>チョクセツ</t>
    </rPh>
    <rPh sb="4" eb="6">
      <t>ザイリョウ</t>
    </rPh>
    <rPh sb="6" eb="8">
      <t>シュッコ</t>
    </rPh>
    <rPh sb="8" eb="10">
      <t>キンガク</t>
    </rPh>
    <phoneticPr fontId="3"/>
  </si>
  <si>
    <t>F 抜取検査回数</t>
    <rPh sb="2" eb="4">
      <t>ヌキトリ</t>
    </rPh>
    <rPh sb="4" eb="6">
      <t>ケンサ</t>
    </rPh>
    <rPh sb="6" eb="8">
      <t>カイスウ</t>
    </rPh>
    <phoneticPr fontId="3"/>
  </si>
  <si>
    <t>G 出荷回数</t>
    <rPh sb="2" eb="4">
      <t>シュッカ</t>
    </rPh>
    <rPh sb="4" eb="6">
      <t>カイスウ</t>
    </rPh>
    <phoneticPr fontId="3"/>
  </si>
  <si>
    <t>活動基準原価計算による配賦額</t>
    <rPh sb="0" eb="2">
      <t>カツドウ</t>
    </rPh>
    <rPh sb="2" eb="4">
      <t>キジュン</t>
    </rPh>
    <rPh sb="4" eb="6">
      <t>ゲンカ</t>
    </rPh>
    <rPh sb="6" eb="8">
      <t>ケイサン</t>
    </rPh>
    <rPh sb="11" eb="13">
      <t>ハイフ</t>
    </rPh>
    <rPh sb="13" eb="14">
      <t>ガク</t>
    </rPh>
    <phoneticPr fontId="3"/>
  </si>
  <si>
    <t>C製品専用機械減価償却費</t>
    <rPh sb="1" eb="3">
      <t>セイヒン</t>
    </rPh>
    <rPh sb="3" eb="5">
      <t>センヨウ</t>
    </rPh>
    <rPh sb="5" eb="7">
      <t>キカイ</t>
    </rPh>
    <rPh sb="7" eb="9">
      <t>ゲンカ</t>
    </rPh>
    <rPh sb="9" eb="11">
      <t>ショウキャク</t>
    </rPh>
    <rPh sb="11" eb="12">
      <t>ヒ</t>
    </rPh>
    <phoneticPr fontId="3"/>
  </si>
  <si>
    <t>問3 活動基準原価計算による原価、営業利益の計算</t>
    <rPh sb="0" eb="1">
      <t>トイ</t>
    </rPh>
    <rPh sb="3" eb="5">
      <t>カツドウ</t>
    </rPh>
    <rPh sb="5" eb="7">
      <t>キジュン</t>
    </rPh>
    <rPh sb="7" eb="9">
      <t>ゲンカ</t>
    </rPh>
    <rPh sb="9" eb="11">
      <t>ケイサン</t>
    </rPh>
    <rPh sb="14" eb="16">
      <t>ゲンカ</t>
    </rPh>
    <rPh sb="17" eb="19">
      <t>エイギョウ</t>
    </rPh>
    <rPh sb="19" eb="21">
      <t>リエキ</t>
    </rPh>
    <rPh sb="22" eb="24">
      <t>ケイサン</t>
    </rPh>
    <phoneticPr fontId="3"/>
  </si>
  <si>
    <t>問4 製品ABCへの原価配賦額の差異分析</t>
    <rPh sb="0" eb="1">
      <t>トイ</t>
    </rPh>
    <rPh sb="3" eb="5">
      <t>セイヒン</t>
    </rPh>
    <rPh sb="10" eb="12">
      <t>ゲンカ</t>
    </rPh>
    <rPh sb="12" eb="14">
      <t>ハイフ</t>
    </rPh>
    <rPh sb="14" eb="15">
      <t>ガク</t>
    </rPh>
    <rPh sb="16" eb="18">
      <t>サイ</t>
    </rPh>
    <rPh sb="18" eb="20">
      <t>ブンセキ</t>
    </rPh>
    <phoneticPr fontId="3"/>
  </si>
  <si>
    <t>差異(単価)</t>
    <rPh sb="0" eb="2">
      <t>サイ</t>
    </rPh>
    <rPh sb="3" eb="5">
      <t>タンカ</t>
    </rPh>
    <phoneticPr fontId="3"/>
  </si>
  <si>
    <t>差異(総額)</t>
    <rPh sb="0" eb="2">
      <t>サイ</t>
    </rPh>
    <rPh sb="3" eb="5">
      <t>ソウガク</t>
    </rPh>
    <phoneticPr fontId="3"/>
  </si>
  <si>
    <t>過大</t>
    <rPh sb="0" eb="2">
      <t>カダイ</t>
    </rPh>
    <phoneticPr fontId="3"/>
  </si>
  <si>
    <t>過小</t>
    <rPh sb="0" eb="2">
      <t>カショウ</t>
    </rPh>
    <phoneticPr fontId="3"/>
  </si>
  <si>
    <t>に配賦されている</t>
    <rPh sb="1" eb="3">
      <t>ハイフ</t>
    </rPh>
    <phoneticPr fontId="3"/>
  </si>
  <si>
    <t>伝統的全部原価計算では</t>
    <rPh sb="0" eb="3">
      <t>デントウテキ</t>
    </rPh>
    <rPh sb="3" eb="5">
      <t>ゼンブ</t>
    </rPh>
    <rPh sb="5" eb="7">
      <t>ゲンカ</t>
    </rPh>
    <rPh sb="7" eb="9">
      <t>ケイサン</t>
    </rPh>
    <phoneticPr fontId="3"/>
  </si>
  <si>
    <t>問2 製品別・全部原価計算PLの作成 (虫食い算)</t>
    <rPh sb="0" eb="1">
      <t>トイ</t>
    </rPh>
    <rPh sb="3" eb="5">
      <t>セイヒン</t>
    </rPh>
    <rPh sb="5" eb="6">
      <t>ベツ</t>
    </rPh>
    <rPh sb="7" eb="9">
      <t>ゼンブ</t>
    </rPh>
    <rPh sb="9" eb="11">
      <t>ゲンカ</t>
    </rPh>
    <rPh sb="11" eb="13">
      <t>ケイサン</t>
    </rPh>
    <rPh sb="16" eb="18">
      <t>サクセイ</t>
    </rPh>
    <rPh sb="20" eb="22">
      <t>ムシク</t>
    </rPh>
    <rPh sb="23" eb="24">
      <t>サン</t>
    </rPh>
    <phoneticPr fontId="3"/>
  </si>
  <si>
    <t>○</t>
    <phoneticPr fontId="3"/>
  </si>
  <si>
    <t>○</t>
    <phoneticPr fontId="3"/>
  </si>
  <si>
    <t>反復投資</t>
    <rPh sb="0" eb="2">
      <t>ハンプク</t>
    </rPh>
    <rPh sb="2" eb="4">
      <t>トウシ</t>
    </rPh>
    <phoneticPr fontId="3"/>
  </si>
  <si>
    <t>固定製造間接費を回避可能⇔不能に区別する練習。当問では第2製造部長を追い出せるので、回避可能原価とする。</t>
    <rPh sb="0" eb="2">
      <t>コテイ</t>
    </rPh>
    <rPh sb="2" eb="4">
      <t>セイゾウ</t>
    </rPh>
    <rPh sb="4" eb="6">
      <t>カンセツ</t>
    </rPh>
    <rPh sb="6" eb="7">
      <t>ヒ</t>
    </rPh>
    <rPh sb="8" eb="10">
      <t>カイヒ</t>
    </rPh>
    <rPh sb="10" eb="12">
      <t>カノウ</t>
    </rPh>
    <rPh sb="13" eb="15">
      <t>フノウ</t>
    </rPh>
    <rPh sb="16" eb="18">
      <t>クベツ</t>
    </rPh>
    <rPh sb="20" eb="22">
      <t>レンシュウ</t>
    </rPh>
    <rPh sb="23" eb="24">
      <t>トウ</t>
    </rPh>
    <rPh sb="24" eb="25">
      <t>モン</t>
    </rPh>
    <rPh sb="27" eb="28">
      <t>ダイ</t>
    </rPh>
    <rPh sb="29" eb="31">
      <t>セイゾウ</t>
    </rPh>
    <rPh sb="31" eb="33">
      <t>ブチョウ</t>
    </rPh>
    <rPh sb="34" eb="35">
      <t>オ</t>
    </rPh>
    <rPh sb="36" eb="37">
      <t>ダ</t>
    </rPh>
    <rPh sb="42" eb="44">
      <t>カイヒ</t>
    </rPh>
    <rPh sb="44" eb="46">
      <t>カノウ</t>
    </rPh>
    <rPh sb="46" eb="48">
      <t>ゲンカ</t>
    </rPh>
    <phoneticPr fontId="3"/>
  </si>
  <si>
    <t>?</t>
    <phoneticPr fontId="3"/>
  </si>
  <si>
    <t xml:space="preserve">             ○減価償却費をそのままCIFに加算するため、直感的にわかる。</t>
    <rPh sb="14" eb="16">
      <t>ゲンカ</t>
    </rPh>
    <rPh sb="16" eb="18">
      <t>ショウキャク</t>
    </rPh>
    <rPh sb="18" eb="19">
      <t>ヒ</t>
    </rPh>
    <rPh sb="28" eb="30">
      <t>カサン</t>
    </rPh>
    <rPh sb="35" eb="38">
      <t>チョッカンテキ</t>
    </rPh>
    <phoneticPr fontId="3"/>
  </si>
  <si>
    <t xml:space="preserve">             ×定率法の場合、減価償却費が毎期変動するため、使いにくい。</t>
    <rPh sb="14" eb="16">
      <t>テイリツ</t>
    </rPh>
    <rPh sb="16" eb="17">
      <t>ホウ</t>
    </rPh>
    <rPh sb="18" eb="20">
      <t>バアイ</t>
    </rPh>
    <rPh sb="21" eb="23">
      <t>ゲンカ</t>
    </rPh>
    <rPh sb="23" eb="25">
      <t>ショウキャク</t>
    </rPh>
    <rPh sb="25" eb="26">
      <t>ヒ</t>
    </rPh>
    <rPh sb="27" eb="29">
      <t>マイキ</t>
    </rPh>
    <rPh sb="29" eb="31">
      <t>ヘンドウ</t>
    </rPh>
    <rPh sb="36" eb="37">
      <t>ツカ</t>
    </rPh>
    <phoneticPr fontId="3"/>
  </si>
  <si>
    <t xml:space="preserve">             ○簿記1級最新の解き方。タイムテーブルを使い、減価償却費が毎期変動しても対応できる。</t>
    <rPh sb="14" eb="16">
      <t>ボキ</t>
    </rPh>
    <rPh sb="17" eb="18">
      <t>キュウ</t>
    </rPh>
    <rPh sb="18" eb="20">
      <t>サイシン</t>
    </rPh>
    <rPh sb="21" eb="22">
      <t>ト</t>
    </rPh>
    <rPh sb="23" eb="24">
      <t>カタ</t>
    </rPh>
    <rPh sb="33" eb="34">
      <t>ツカ</t>
    </rPh>
    <rPh sb="36" eb="38">
      <t>ゲンカ</t>
    </rPh>
    <rPh sb="38" eb="40">
      <t>ショウキャク</t>
    </rPh>
    <rPh sb="40" eb="41">
      <t>ヒ</t>
    </rPh>
    <rPh sb="42" eb="44">
      <t>マイキ</t>
    </rPh>
    <rPh sb="44" eb="46">
      <t>ヘンドウ</t>
    </rPh>
    <rPh sb="49" eb="51">
      <t>タイオウ</t>
    </rPh>
    <phoneticPr fontId="3"/>
  </si>
  <si>
    <t xml:space="preserve">             ×減価償却費の×0.4（TS分）だけをCIFに加算するイメージがしにくい。診断士の問題の解説と一致するか不明。</t>
    <rPh sb="14" eb="16">
      <t>ゲンカ</t>
    </rPh>
    <rPh sb="16" eb="18">
      <t>ショウキャク</t>
    </rPh>
    <rPh sb="18" eb="19">
      <t>ヒ</t>
    </rPh>
    <rPh sb="27" eb="28">
      <t>ブン</t>
    </rPh>
    <rPh sb="36" eb="38">
      <t>カサン</t>
    </rPh>
    <rPh sb="50" eb="53">
      <t>シンダンシ</t>
    </rPh>
    <rPh sb="54" eb="56">
      <t>モンダイ</t>
    </rPh>
    <rPh sb="57" eb="59">
      <t>カイセツ</t>
    </rPh>
    <rPh sb="60" eb="62">
      <t>イッチ</t>
    </rPh>
    <rPh sb="65" eb="67">
      <t>フメイ</t>
    </rPh>
    <phoneticPr fontId="3"/>
  </si>
  <si>
    <t>コラム：税引後CIF BOXの作り方 (参考：新旧の比較) テキストP.79</t>
    <rPh sb="4" eb="6">
      <t>ゼイビキ</t>
    </rPh>
    <rPh sb="6" eb="7">
      <t>ゴ</t>
    </rPh>
    <rPh sb="15" eb="16">
      <t>ツク</t>
    </rPh>
    <rPh sb="17" eb="18">
      <t>カタ</t>
    </rPh>
    <rPh sb="20" eb="22">
      <t>サンコウ</t>
    </rPh>
    <rPh sb="23" eb="25">
      <t>シンキュウ</t>
    </rPh>
    <rPh sb="26" eb="28">
      <t>ヒカク</t>
    </rPh>
    <phoneticPr fontId="3"/>
  </si>
  <si>
    <t>▲数量値引</t>
    <rPh sb="1" eb="3">
      <t>スウリョウ</t>
    </rPh>
    <rPh sb="3" eb="5">
      <t>ネビ</t>
    </rPh>
    <phoneticPr fontId="3"/>
  </si>
  <si>
    <t>▲</t>
    <phoneticPr fontId="3"/>
  </si>
  <si>
    <t>○</t>
    <phoneticPr fontId="3"/>
  </si>
  <si>
    <t>▲他変動費</t>
    <rPh sb="1" eb="2">
      <t>ホカ</t>
    </rPh>
    <rPh sb="2" eb="4">
      <t>ヘンドウ</t>
    </rPh>
    <rPh sb="4" eb="5">
      <t>ヒ</t>
    </rPh>
    <phoneticPr fontId="3"/>
  </si>
  <si>
    <t>エクセル掲載</t>
    <rPh sb="4" eb="6">
      <t>ケイサイ</t>
    </rPh>
    <phoneticPr fontId="3"/>
  </si>
  <si>
    <t>★</t>
    <phoneticPr fontId="3"/>
  </si>
  <si>
    <t>◆⑤</t>
    <phoneticPr fontId="3"/>
  </si>
  <si>
    <t>◆⑯</t>
    <phoneticPr fontId="3"/>
  </si>
  <si>
    <t>★：当サイト上でエクセルを添付した問題。著作権を考慮し、10問にとどめた。</t>
    <rPh sb="2" eb="3">
      <t>トウ</t>
    </rPh>
    <rPh sb="6" eb="7">
      <t>ジョウ</t>
    </rPh>
    <rPh sb="13" eb="15">
      <t>テンプ</t>
    </rPh>
    <rPh sb="17" eb="19">
      <t>モンダイ</t>
    </rPh>
    <rPh sb="20" eb="23">
      <t>チョサクケン</t>
    </rPh>
    <rPh sb="24" eb="26">
      <t>コウリョ</t>
    </rPh>
    <rPh sb="30" eb="31">
      <t>モン</t>
    </rPh>
    <phoneticPr fontId="3"/>
  </si>
  <si>
    <t>◆：問題⑤追加加工、⑯リースは｢事例Ⅳ｣出題範囲外なので解かなくて良い。</t>
    <rPh sb="2" eb="4">
      <t>モンダイ</t>
    </rPh>
    <rPh sb="5" eb="7">
      <t>ツイカ</t>
    </rPh>
    <rPh sb="7" eb="9">
      <t>カコウ</t>
    </rPh>
    <rPh sb="16" eb="18">
      <t>ジレイ</t>
    </rPh>
    <rPh sb="20" eb="22">
      <t>シュツダイ</t>
    </rPh>
    <rPh sb="22" eb="24">
      <t>ハンイ</t>
    </rPh>
    <rPh sb="24" eb="25">
      <t>ガイ</t>
    </rPh>
    <rPh sb="28" eb="29">
      <t>ト</t>
    </rPh>
    <rPh sb="33" eb="34">
      <t>ヨ</t>
    </rPh>
    <phoneticPr fontId="3"/>
  </si>
  <si>
    <t>▲：簿記知識が必要、または計算が煩雑な箇所。答えを先に見る方が良い。</t>
    <rPh sb="2" eb="4">
      <t>ボキ</t>
    </rPh>
    <rPh sb="4" eb="6">
      <t>チシキ</t>
    </rPh>
    <rPh sb="7" eb="9">
      <t>ヒツヨウ</t>
    </rPh>
    <rPh sb="13" eb="15">
      <t>ケイサン</t>
    </rPh>
    <rPh sb="16" eb="18">
      <t>ハンザツ</t>
    </rPh>
    <rPh sb="19" eb="21">
      <t>カショ</t>
    </rPh>
    <rPh sb="22" eb="23">
      <t>コタ</t>
    </rPh>
    <rPh sb="25" eb="26">
      <t>サキ</t>
    </rPh>
    <rPh sb="27" eb="28">
      <t>ミ</t>
    </rPh>
    <rPh sb="29" eb="30">
      <t>ホウ</t>
    </rPh>
    <rPh sb="31" eb="32">
      <t>ヨ</t>
    </rPh>
    <phoneticPr fontId="3"/>
  </si>
  <si>
    <t>A</t>
    <phoneticPr fontId="3"/>
  </si>
  <si>
    <t xml:space="preserve">  年間発注回数をxと置いて方程式を解いても同じ答えになるので、そちらでも解いて納得しておくと、尚可。</t>
    <rPh sb="2" eb="4">
      <t>ネンカン</t>
    </rPh>
    <rPh sb="4" eb="6">
      <t>ハッチュウ</t>
    </rPh>
    <rPh sb="6" eb="8">
      <t>カイスウ</t>
    </rPh>
    <rPh sb="11" eb="12">
      <t>オ</t>
    </rPh>
    <rPh sb="14" eb="17">
      <t>ホウテイシキ</t>
    </rPh>
    <rPh sb="18" eb="19">
      <t>ト</t>
    </rPh>
    <rPh sb="22" eb="23">
      <t>オナ</t>
    </rPh>
    <rPh sb="24" eb="25">
      <t>コタ</t>
    </rPh>
    <rPh sb="37" eb="38">
      <t>ト</t>
    </rPh>
    <rPh sb="40" eb="42">
      <t>ナットク</t>
    </rPh>
    <rPh sb="48" eb="50">
      <t>ナオカ</t>
    </rPh>
    <phoneticPr fontId="3"/>
  </si>
  <si>
    <t>※年間1,000kgを240kgで割ると、年間発注回数＝4.16666・・となる。</t>
    <rPh sb="1" eb="3">
      <t>ネンカン</t>
    </rPh>
    <rPh sb="17" eb="18">
      <t>ワ</t>
    </rPh>
    <rPh sb="21" eb="23">
      <t>ネンカン</t>
    </rPh>
    <rPh sb="23" eb="25">
      <t>ハッチュウ</t>
    </rPh>
    <rPh sb="25" eb="27">
      <t>カイスウ</t>
    </rPh>
    <phoneticPr fontId="3"/>
  </si>
  <si>
    <t>/2</t>
    <phoneticPr fontId="3"/>
  </si>
  <si>
    <t>L</t>
    <phoneticPr fontId="3"/>
  </si>
  <si>
    <r>
      <t>発注量</t>
    </r>
    <r>
      <rPr>
        <u/>
        <sz val="10"/>
        <color theme="1"/>
        <rFont val="游ゴシック"/>
        <family val="3"/>
        <charset val="128"/>
        <scheme val="minor"/>
      </rPr>
      <t>÷2</t>
    </r>
    <rPh sb="0" eb="2">
      <t>ハッチュウ</t>
    </rPh>
    <rPh sb="2" eb="3">
      <t>リョウ</t>
    </rPh>
    <phoneticPr fontId="3"/>
  </si>
  <si>
    <t>x=</t>
    <phoneticPr fontId="3"/>
  </si>
  <si>
    <t>方程式を解く</t>
    <rPh sb="0" eb="3">
      <t>ホウテイシキ</t>
    </rPh>
    <rPh sb="4" eb="5">
      <t>ト</t>
    </rPh>
    <phoneticPr fontId="3"/>
  </si>
  <si>
    <t>年平均保管量の計算</t>
    <rPh sb="0" eb="1">
      <t>ネン</t>
    </rPh>
    <rPh sb="1" eb="3">
      <t>ヘイキン</t>
    </rPh>
    <rPh sb="3" eb="6">
      <t>ホカンリョウ</t>
    </rPh>
    <rPh sb="7" eb="9">
      <t>ケイサン</t>
    </rPh>
    <phoneticPr fontId="3"/>
  </si>
  <si>
    <t>×1/2 x</t>
    <phoneticPr fontId="3"/>
  </si>
  <si>
    <t>保管費</t>
    <rPh sb="0" eb="2">
      <t>ホカン</t>
    </rPh>
    <rPh sb="2" eb="3">
      <t>ヒ</t>
    </rPh>
    <phoneticPr fontId="3"/>
  </si>
  <si>
    <t>年鑑保管費の資本コスト</t>
    <rPh sb="0" eb="2">
      <t>ネンカン</t>
    </rPh>
    <rPh sb="2" eb="4">
      <t>ホカン</t>
    </rPh>
    <rPh sb="4" eb="5">
      <t>ヒ</t>
    </rPh>
    <rPh sb="6" eb="8">
      <t>シホン</t>
    </rPh>
    <phoneticPr fontId="3"/>
  </si>
  <si>
    <t>年間保管料</t>
    <rPh sb="0" eb="2">
      <t>ネンカン</t>
    </rPh>
    <rPh sb="2" eb="5">
      <t>ホカンリョウ</t>
    </rPh>
    <phoneticPr fontId="3"/>
  </si>
  <si>
    <t>同額原価→非関連</t>
    <rPh sb="0" eb="2">
      <t>ドウガク</t>
    </rPh>
    <rPh sb="2" eb="4">
      <t>ゲンカ</t>
    </rPh>
    <rPh sb="5" eb="6">
      <t>ヒ</t>
    </rPh>
    <rPh sb="6" eb="8">
      <t>カンレン</t>
    </rPh>
    <phoneticPr fontId="3"/>
  </si>
  <si>
    <t>材料1kgあたりの年間火災保険料</t>
    <rPh sb="0" eb="2">
      <t>ザイリョウ</t>
    </rPh>
    <rPh sb="9" eb="11">
      <t>ネンカン</t>
    </rPh>
    <rPh sb="11" eb="13">
      <t>カサイ</t>
    </rPh>
    <rPh sb="13" eb="16">
      <t>ホケンリョウ</t>
    </rPh>
    <phoneticPr fontId="3"/>
  </si>
  <si>
    <t>固定費→非関連原価</t>
    <rPh sb="0" eb="2">
      <t>コテイ</t>
    </rPh>
    <rPh sb="2" eb="3">
      <t>ヒ</t>
    </rPh>
    <rPh sb="4" eb="5">
      <t>ヒ</t>
    </rPh>
    <rPh sb="5" eb="7">
      <t>カンレン</t>
    </rPh>
    <rPh sb="7" eb="9">
      <t>ゲンカ</t>
    </rPh>
    <phoneticPr fontId="3"/>
  </si>
  <si>
    <t>材料倉庫の電灯量の基本料金年額</t>
    <rPh sb="0" eb="2">
      <t>ザイリョウ</t>
    </rPh>
    <rPh sb="2" eb="4">
      <t>ソウコ</t>
    </rPh>
    <rPh sb="5" eb="7">
      <t>デントウ</t>
    </rPh>
    <rPh sb="7" eb="8">
      <t>リョウ</t>
    </rPh>
    <rPh sb="9" eb="11">
      <t>キホン</t>
    </rPh>
    <rPh sb="11" eb="13">
      <t>リョウキン</t>
    </rPh>
    <rPh sb="13" eb="15">
      <t>ネンガク</t>
    </rPh>
    <phoneticPr fontId="3"/>
  </si>
  <si>
    <t>材料倉庫の年間減価償却費</t>
    <rPh sb="0" eb="2">
      <t>ザイリョウ</t>
    </rPh>
    <rPh sb="2" eb="4">
      <t>ソウコ</t>
    </rPh>
    <rPh sb="5" eb="7">
      <t>ネンカン</t>
    </rPh>
    <rPh sb="7" eb="9">
      <t>ゲンカ</t>
    </rPh>
    <rPh sb="9" eb="11">
      <t>ショウキャク</t>
    </rPh>
    <rPh sb="11" eb="12">
      <t>ヒ</t>
    </rPh>
    <phoneticPr fontId="3"/>
  </si>
  <si>
    <t>×1000／L</t>
    <phoneticPr fontId="3"/>
  </si>
  <si>
    <t>発注費</t>
    <rPh sb="0" eb="2">
      <t>ハッチュウ</t>
    </rPh>
    <rPh sb="2" eb="3">
      <t>ヒ</t>
    </rPh>
    <phoneticPr fontId="3"/>
  </si>
  <si>
    <t>発注1回あたりの事務用消耗品費</t>
    <rPh sb="0" eb="2">
      <t>ハッチュウ</t>
    </rPh>
    <rPh sb="3" eb="4">
      <t>カイ</t>
    </rPh>
    <rPh sb="8" eb="11">
      <t>ジムヨウ</t>
    </rPh>
    <rPh sb="11" eb="13">
      <t>ショウモウ</t>
    </rPh>
    <rPh sb="13" eb="14">
      <t>ヒン</t>
    </rPh>
    <rPh sb="14" eb="15">
      <t>ヒ</t>
    </rPh>
    <phoneticPr fontId="3"/>
  </si>
  <si>
    <t>年間発注費</t>
    <rPh sb="0" eb="2">
      <t>ネンカン</t>
    </rPh>
    <rPh sb="2" eb="4">
      <t>ハッチュウ</t>
    </rPh>
    <rPh sb="4" eb="5">
      <t>ヒ</t>
    </rPh>
    <phoneticPr fontId="3"/>
  </si>
  <si>
    <t>発注1回あたりの通信費</t>
    <rPh sb="0" eb="2">
      <t>ハッチュウ</t>
    </rPh>
    <rPh sb="3" eb="4">
      <t>カイ</t>
    </rPh>
    <rPh sb="8" eb="11">
      <t>ツウシンヒ</t>
    </rPh>
    <phoneticPr fontId="3"/>
  </si>
  <si>
    <t>1kgあたりの購入原価</t>
    <rPh sb="7" eb="9">
      <t>コウニュウ</t>
    </rPh>
    <rPh sb="9" eb="11">
      <t>ゲンカ</t>
    </rPh>
    <phoneticPr fontId="3"/>
  </si>
  <si>
    <t>発注量をLと置き、年間発注費・保管費を求める。</t>
    <rPh sb="0" eb="2">
      <t>ハッチュウ</t>
    </rPh>
    <rPh sb="2" eb="3">
      <t>リョウ</t>
    </rPh>
    <rPh sb="6" eb="7">
      <t>オ</t>
    </rPh>
    <rPh sb="9" eb="11">
      <t>ネンカン</t>
    </rPh>
    <rPh sb="11" eb="13">
      <t>ハッチュウ</t>
    </rPh>
    <rPh sb="13" eb="14">
      <t>ヒ</t>
    </rPh>
    <rPh sb="15" eb="17">
      <t>ホカン</t>
    </rPh>
    <rPh sb="17" eb="18">
      <t>ヒ</t>
    </rPh>
    <rPh sb="19" eb="20">
      <t>モト</t>
    </rPh>
    <phoneticPr fontId="3"/>
  </si>
  <si>
    <t>年間予定総消費量</t>
    <rPh sb="0" eb="2">
      <t>ネンカン</t>
    </rPh>
    <rPh sb="2" eb="4">
      <t>ヨテイ</t>
    </rPh>
    <rPh sb="4" eb="5">
      <t>ソウ</t>
    </rPh>
    <rPh sb="5" eb="8">
      <t>ショウヒリョウ</t>
    </rPh>
    <phoneticPr fontId="3"/>
  </si>
  <si>
    <t>捻り問題に対応するため、｢公式で解く｣ことはできれば避けたい。なお方程式はx2乗となるため、√計算のできる電卓を選んでおく。</t>
    <rPh sb="0" eb="1">
      <t>ヒネ</t>
    </rPh>
    <rPh sb="2" eb="4">
      <t>モンダイ</t>
    </rPh>
    <rPh sb="5" eb="7">
      <t>タイオウ</t>
    </rPh>
    <rPh sb="13" eb="15">
      <t>コウシキ</t>
    </rPh>
    <rPh sb="16" eb="17">
      <t>ト</t>
    </rPh>
    <rPh sb="26" eb="27">
      <t>サ</t>
    </rPh>
    <rPh sb="33" eb="36">
      <t>ホウテイシキ</t>
    </rPh>
    <rPh sb="39" eb="40">
      <t>ジョウ</t>
    </rPh>
    <rPh sb="47" eb="49">
      <t>ケイサン</t>
    </rPh>
    <rPh sb="53" eb="55">
      <t>デンタク</t>
    </rPh>
    <rPh sb="56" eb="57">
      <t>エラ</t>
    </rPh>
    <phoneticPr fontId="3"/>
  </si>
  <si>
    <t>経済的発注量は、診断士試験では｢運営｣の計算問題。でも、費用のトレードオフ関係＝2者の費用が一致する点xを方程式で求める点で、｢優劣分岐点｣と同じため、セットで覚えておくのは一理あり。</t>
    <rPh sb="0" eb="3">
      <t>ケイザイテキ</t>
    </rPh>
    <rPh sb="3" eb="6">
      <t>ハッチュウリョウ</t>
    </rPh>
    <rPh sb="8" eb="11">
      <t>シンダンシ</t>
    </rPh>
    <rPh sb="11" eb="13">
      <t>シケン</t>
    </rPh>
    <rPh sb="16" eb="18">
      <t>ウンエイ</t>
    </rPh>
    <rPh sb="20" eb="22">
      <t>ケイサン</t>
    </rPh>
    <rPh sb="22" eb="24">
      <t>モンダイ</t>
    </rPh>
    <rPh sb="28" eb="30">
      <t>ヒヨウ</t>
    </rPh>
    <rPh sb="37" eb="39">
      <t>カンケイ</t>
    </rPh>
    <rPh sb="41" eb="42">
      <t>シャ</t>
    </rPh>
    <rPh sb="43" eb="45">
      <t>ヒヨウ</t>
    </rPh>
    <rPh sb="46" eb="48">
      <t>イッチ</t>
    </rPh>
    <rPh sb="50" eb="51">
      <t>テン</t>
    </rPh>
    <rPh sb="53" eb="56">
      <t>ホウテイシキ</t>
    </rPh>
    <rPh sb="57" eb="58">
      <t>モト</t>
    </rPh>
    <rPh sb="60" eb="61">
      <t>テン</t>
    </rPh>
    <rPh sb="64" eb="66">
      <t>ユウレツ</t>
    </rPh>
    <rPh sb="66" eb="69">
      <t>ブンキテン</t>
    </rPh>
    <rPh sb="71" eb="72">
      <t>オナ</t>
    </rPh>
    <rPh sb="80" eb="81">
      <t>オボ</t>
    </rPh>
    <rPh sb="87" eb="89">
      <t>イチリ</t>
    </rPh>
    <phoneticPr fontId="3"/>
  </si>
  <si>
    <t>CASE8 経済的発注量 P.37</t>
    <rPh sb="6" eb="9">
      <t>ケイザイテキ</t>
    </rPh>
    <rPh sb="9" eb="12">
      <t>ハッチュウリョウ</t>
    </rPh>
    <phoneticPr fontId="3"/>
  </si>
  <si>
    <t>診断士｢事例Ⅳ｣ではかなりの確率で問われるため、もし苦手な場合は理解できるまで講師に質問する方が良い。</t>
    <rPh sb="0" eb="3">
      <t>シンダンシ</t>
    </rPh>
    <rPh sb="4" eb="6">
      <t>ジレイ</t>
    </rPh>
    <rPh sb="14" eb="16">
      <t>カクリツ</t>
    </rPh>
    <rPh sb="17" eb="18">
      <t>ト</t>
    </rPh>
    <rPh sb="26" eb="28">
      <t>ニガテ</t>
    </rPh>
    <rPh sb="29" eb="31">
      <t>バアイ</t>
    </rPh>
    <rPh sb="32" eb="34">
      <t>リカイ</t>
    </rPh>
    <rPh sb="39" eb="41">
      <t>コウシ</t>
    </rPh>
    <rPh sb="42" eb="44">
      <t>シツモン</t>
    </rPh>
    <rPh sb="46" eb="47">
      <t>ホウ</t>
    </rPh>
    <rPh sb="48" eb="49">
      <t>ヨ</t>
    </rPh>
    <phoneticPr fontId="3"/>
  </si>
  <si>
    <t>製品Bは問題文では一見赤字に見えるが、製品貢献利益はプラスなので、廃止しない。</t>
    <rPh sb="0" eb="2">
      <t>セイヒン</t>
    </rPh>
    <rPh sb="4" eb="7">
      <t>モンダイブン</t>
    </rPh>
    <rPh sb="9" eb="11">
      <t>イッケン</t>
    </rPh>
    <rPh sb="11" eb="13">
      <t>アカジ</t>
    </rPh>
    <rPh sb="14" eb="15">
      <t>ミ</t>
    </rPh>
    <rPh sb="19" eb="21">
      <t>セイヒン</t>
    </rPh>
    <rPh sb="21" eb="23">
      <t>コウケン</t>
    </rPh>
    <rPh sb="23" eb="25">
      <t>リエキ</t>
    </rPh>
    <rPh sb="33" eb="35">
      <t>ハイシ</t>
    </rPh>
    <phoneticPr fontId="3"/>
  </si>
  <si>
    <t>一般管理費</t>
    <rPh sb="0" eb="2">
      <t>イッパン</t>
    </rPh>
    <rPh sb="2" eb="5">
      <t>カンリヒ</t>
    </rPh>
    <phoneticPr fontId="3"/>
  </si>
  <si>
    <t>ここは各製品に配賦しない</t>
    <rPh sb="3" eb="4">
      <t>カク</t>
    </rPh>
    <rPh sb="4" eb="6">
      <t>セイヒン</t>
    </rPh>
    <rPh sb="7" eb="9">
      <t>ハイフ</t>
    </rPh>
    <phoneticPr fontId="3"/>
  </si>
  <si>
    <t>給料</t>
    <rPh sb="0" eb="2">
      <t>キュウリョウ</t>
    </rPh>
    <phoneticPr fontId="3"/>
  </si>
  <si>
    <t>共通固定費</t>
    <rPh sb="0" eb="2">
      <t>キョウツウ</t>
    </rPh>
    <rPh sb="2" eb="4">
      <t>コテイ</t>
    </rPh>
    <rPh sb="4" eb="5">
      <t>ヒ</t>
    </rPh>
    <phoneticPr fontId="3"/>
  </si>
  <si>
    <t>製品貢献利益</t>
    <rPh sb="0" eb="2">
      <t>セイヒン</t>
    </rPh>
    <rPh sb="2" eb="4">
      <t>コウケン</t>
    </rPh>
    <rPh sb="4" eb="6">
      <t>リエキ</t>
    </rPh>
    <phoneticPr fontId="3"/>
  </si>
  <si>
    <t>保険料</t>
    <rPh sb="0" eb="3">
      <t>ホケンリョウ</t>
    </rPh>
    <phoneticPr fontId="3"/>
  </si>
  <si>
    <t>広告宣伝費</t>
    <rPh sb="0" eb="2">
      <t>コウコク</t>
    </rPh>
    <rPh sb="2" eb="5">
      <t>センデンヒ</t>
    </rPh>
    <phoneticPr fontId="3"/>
  </si>
  <si>
    <t>個別固定費</t>
    <rPh sb="0" eb="2">
      <t>コベツ</t>
    </rPh>
    <rPh sb="2" eb="4">
      <t>コテイ</t>
    </rPh>
    <rPh sb="4" eb="5">
      <t>ヒ</t>
    </rPh>
    <phoneticPr fontId="3"/>
  </si>
  <si>
    <t>単位：千円</t>
    <rPh sb="0" eb="2">
      <t>タンイ</t>
    </rPh>
    <rPh sb="3" eb="5">
      <t>センエン</t>
    </rPh>
    <phoneticPr fontId="3"/>
  </si>
  <si>
    <t>解き方としては、共通固定費を除き、個別固定費までを考慮した｢製品貢献利益｣の±で判断する。</t>
    <rPh sb="0" eb="1">
      <t>ト</t>
    </rPh>
    <rPh sb="2" eb="3">
      <t>カタ</t>
    </rPh>
    <rPh sb="8" eb="10">
      <t>キョウツウ</t>
    </rPh>
    <rPh sb="10" eb="12">
      <t>コテイ</t>
    </rPh>
    <rPh sb="12" eb="13">
      <t>ヒ</t>
    </rPh>
    <rPh sb="14" eb="15">
      <t>ノゾ</t>
    </rPh>
    <rPh sb="17" eb="19">
      <t>コベツ</t>
    </rPh>
    <rPh sb="19" eb="21">
      <t>コテイ</t>
    </rPh>
    <rPh sb="21" eb="22">
      <t>ヒ</t>
    </rPh>
    <rPh sb="25" eb="27">
      <t>コウリョ</t>
    </rPh>
    <rPh sb="30" eb="32">
      <t>セイヒン</t>
    </rPh>
    <rPh sb="32" eb="34">
      <t>コウケン</t>
    </rPh>
    <rPh sb="34" eb="36">
      <t>リエキ</t>
    </rPh>
    <rPh sb="40" eb="42">
      <t>ハンダン</t>
    </rPh>
    <phoneticPr fontId="3"/>
  </si>
  <si>
    <t>直接原価計算PLを使う｢セグメント損益｣は、CVP分析の応用論点と考えると良い。</t>
    <rPh sb="0" eb="2">
      <t>チョクセツ</t>
    </rPh>
    <rPh sb="2" eb="4">
      <t>ゲンカ</t>
    </rPh>
    <rPh sb="4" eb="6">
      <t>ケイサン</t>
    </rPh>
    <rPh sb="9" eb="10">
      <t>ツカ</t>
    </rPh>
    <rPh sb="17" eb="19">
      <t>ソンエキ</t>
    </rPh>
    <rPh sb="25" eb="27">
      <t>ブンセキ</t>
    </rPh>
    <rPh sb="28" eb="30">
      <t>オウヨウ</t>
    </rPh>
    <rPh sb="30" eb="32">
      <t>ロンテン</t>
    </rPh>
    <rPh sb="33" eb="34">
      <t>カンガ</t>
    </rPh>
    <rPh sb="37" eb="38">
      <t>ヨ</t>
    </rPh>
    <phoneticPr fontId="3"/>
  </si>
  <si>
    <t>CASE7 セグメントの存廃 P.34</t>
    <rPh sb="12" eb="14">
      <t>ソンパイ</t>
    </rPh>
    <phoneticPr fontId="3"/>
  </si>
  <si>
    <t>円大きい、製品Bとして販売する。</t>
    <rPh sb="0" eb="1">
      <t>エン</t>
    </rPh>
    <rPh sb="1" eb="2">
      <t>オオ</t>
    </rPh>
    <rPh sb="5" eb="7">
      <t>セイヒン</t>
    </rPh>
    <rPh sb="11" eb="13">
      <t>ハンバイ</t>
    </rPh>
    <phoneticPr fontId="3"/>
  </si>
  <si>
    <t>差額利益が</t>
    <rPh sb="0" eb="2">
      <t>サガク</t>
    </rPh>
    <rPh sb="2" eb="4">
      <t>リエキ</t>
    </rPh>
    <phoneticPr fontId="3"/>
  </si>
  <si>
    <t>差額利益</t>
    <rPh sb="0" eb="2">
      <t>サガク</t>
    </rPh>
    <rPh sb="2" eb="4">
      <t>リエキ</t>
    </rPh>
    <phoneticPr fontId="3"/>
  </si>
  <si>
    <t>金額</t>
    <rPh sb="0" eb="2">
      <t>キンガク</t>
    </rPh>
    <phoneticPr fontId="3"/>
  </si>
  <si>
    <t>製品Cとして販売</t>
    <rPh sb="0" eb="2">
      <t>セイヒン</t>
    </rPh>
    <rPh sb="6" eb="8">
      <t>ハンバイ</t>
    </rPh>
    <phoneticPr fontId="3"/>
  </si>
  <si>
    <t>製品Bとして販売</t>
    <rPh sb="0" eb="2">
      <t>セイヒン</t>
    </rPh>
    <rPh sb="6" eb="8">
      <t>ハンバイ</t>
    </rPh>
    <phoneticPr fontId="3"/>
  </si>
  <si>
    <t>→製品Bとして販売する場合と、さらにコストをかけ製品Cとして販売する場合の｢差額原価｣を考える。</t>
    <rPh sb="1" eb="3">
      <t>セイヒン</t>
    </rPh>
    <rPh sb="7" eb="9">
      <t>ハンバイ</t>
    </rPh>
    <rPh sb="11" eb="13">
      <t>バアイ</t>
    </rPh>
    <rPh sb="24" eb="26">
      <t>セイヒン</t>
    </rPh>
    <rPh sb="30" eb="32">
      <t>ハンバイ</t>
    </rPh>
    <rPh sb="34" eb="36">
      <t>バアイ</t>
    </rPh>
    <rPh sb="38" eb="40">
      <t>サガク</t>
    </rPh>
    <rPh sb="40" eb="42">
      <t>ゲンカ</t>
    </rPh>
    <rPh sb="44" eb="45">
      <t>カンガ</t>
    </rPh>
    <phoneticPr fontId="3"/>
  </si>
  <si>
    <t>※簿記1級では、連結原価を製品A⇔Bにどう配賦するかの計算を深く問われるが、診断士試験では出題例がないため、対策は不要。</t>
    <rPh sb="1" eb="3">
      <t>ボキ</t>
    </rPh>
    <rPh sb="4" eb="5">
      <t>キュウ</t>
    </rPh>
    <rPh sb="8" eb="10">
      <t>レンケツ</t>
    </rPh>
    <rPh sb="10" eb="12">
      <t>ゲンカ</t>
    </rPh>
    <rPh sb="13" eb="15">
      <t>セイヒン</t>
    </rPh>
    <rPh sb="21" eb="23">
      <t>ハイフ</t>
    </rPh>
    <rPh sb="27" eb="29">
      <t>ケイサン</t>
    </rPh>
    <rPh sb="30" eb="31">
      <t>フカ</t>
    </rPh>
    <rPh sb="32" eb="33">
      <t>ト</t>
    </rPh>
    <rPh sb="38" eb="41">
      <t>シンダンシ</t>
    </rPh>
    <rPh sb="41" eb="43">
      <t>シケン</t>
    </rPh>
    <rPh sb="45" eb="47">
      <t>シュツダイ</t>
    </rPh>
    <rPh sb="47" eb="48">
      <t>レイ</t>
    </rPh>
    <rPh sb="54" eb="56">
      <t>タイサク</t>
    </rPh>
    <rPh sb="57" eb="59">
      <t>フヨウ</t>
    </rPh>
    <phoneticPr fontId="3"/>
  </si>
  <si>
    <t>※この例題では、製品Aの売上高や売上原価(連結原価)は、同額原価＝非関連原価として考慮しない。 2案を比較する意思決定は｢差額｣で行うため、同額原価を考慮せずショートカットすることに慣れると、計算スピードが上がる。</t>
    <rPh sb="3" eb="5">
      <t>レイダイ</t>
    </rPh>
    <rPh sb="8" eb="10">
      <t>セイヒン</t>
    </rPh>
    <rPh sb="12" eb="14">
      <t>ウリアゲ</t>
    </rPh>
    <rPh sb="14" eb="15">
      <t>ダカ</t>
    </rPh>
    <rPh sb="16" eb="18">
      <t>ウリアゲ</t>
    </rPh>
    <rPh sb="18" eb="20">
      <t>ゲンカ</t>
    </rPh>
    <rPh sb="21" eb="23">
      <t>レンケツ</t>
    </rPh>
    <rPh sb="23" eb="25">
      <t>ゲンカ</t>
    </rPh>
    <rPh sb="28" eb="30">
      <t>ドウガク</t>
    </rPh>
    <rPh sb="30" eb="32">
      <t>ゲンカ</t>
    </rPh>
    <rPh sb="33" eb="34">
      <t>ヒ</t>
    </rPh>
    <rPh sb="34" eb="36">
      <t>カンレン</t>
    </rPh>
    <rPh sb="36" eb="38">
      <t>ゲンカ</t>
    </rPh>
    <rPh sb="41" eb="43">
      <t>コウリョ</t>
    </rPh>
    <phoneticPr fontId="3"/>
  </si>
  <si>
    <t>CASE6 追加加工の要否 例題 P30</t>
    <rPh sb="6" eb="8">
      <t>ツイカ</t>
    </rPh>
    <rPh sb="8" eb="10">
      <t>カコウ</t>
    </rPh>
    <rPh sb="11" eb="13">
      <t>ヨウヒ</t>
    </rPh>
    <rPh sb="14" eb="16">
      <t>レイダイ</t>
    </rPh>
    <phoneticPr fontId="3"/>
  </si>
  <si>
    <t>円安い、飾り部品内製案を採用する。</t>
    <rPh sb="0" eb="1">
      <t>エン</t>
    </rPh>
    <rPh sb="1" eb="2">
      <t>ヤス</t>
    </rPh>
    <rPh sb="4" eb="5">
      <t>カザ</t>
    </rPh>
    <rPh sb="6" eb="8">
      <t>ブヒン</t>
    </rPh>
    <rPh sb="8" eb="10">
      <t>ナイセイ</t>
    </rPh>
    <rPh sb="10" eb="11">
      <t>アン</t>
    </rPh>
    <rPh sb="11" eb="12">
      <t>ナイアン</t>
    </rPh>
    <rPh sb="12" eb="14">
      <t>サイヨウ</t>
    </rPh>
    <phoneticPr fontId="3"/>
  </si>
  <si>
    <t>差額原価が</t>
    <rPh sb="0" eb="2">
      <t>サガク</t>
    </rPh>
    <rPh sb="2" eb="4">
      <t>ゲンカ</t>
    </rPh>
    <phoneticPr fontId="3"/>
  </si>
  <si>
    <t>円安い、内製案を採用する。</t>
    <rPh sb="0" eb="1">
      <t>エン</t>
    </rPh>
    <rPh sb="1" eb="2">
      <t>ヤス</t>
    </rPh>
    <rPh sb="4" eb="6">
      <t>ナイセイ</t>
    </rPh>
    <rPh sb="6" eb="7">
      <t>アン</t>
    </rPh>
    <rPh sb="8" eb="10">
      <t>サイヨウ</t>
    </rPh>
    <phoneticPr fontId="3"/>
  </si>
  <si>
    <t>特殊機械賃借料</t>
    <rPh sb="0" eb="2">
      <t>トクシュ</t>
    </rPh>
    <rPh sb="2" eb="4">
      <t>キカイ</t>
    </rPh>
    <rPh sb="4" eb="7">
      <t>チンシャクリョウ</t>
    </rPh>
    <phoneticPr fontId="3"/>
  </si>
  <si>
    <t>変動費単価計</t>
    <rPh sb="0" eb="2">
      <t>ヘンドウ</t>
    </rPh>
    <rPh sb="2" eb="3">
      <t>ヒ</t>
    </rPh>
    <rPh sb="3" eb="5">
      <t>タンカ</t>
    </rPh>
    <rPh sb="5" eb="6">
      <t>ケイ</t>
    </rPh>
    <phoneticPr fontId="3"/>
  </si>
  <si>
    <t>個を越えれば(91個以上なら)、内製が有利。</t>
    <rPh sb="0" eb="1">
      <t>コ</t>
    </rPh>
    <rPh sb="2" eb="3">
      <t>コ</t>
    </rPh>
    <rPh sb="9" eb="10">
      <t>コ</t>
    </rPh>
    <rPh sb="10" eb="12">
      <t>イジョウ</t>
    </rPh>
    <rPh sb="16" eb="18">
      <t>ナイセイ</t>
    </rPh>
    <rPh sb="19" eb="21">
      <t>ユウリ</t>
    </rPh>
    <phoneticPr fontId="3"/>
  </si>
  <si>
    <t>x=</t>
    <phoneticPr fontId="3"/>
  </si>
  <si>
    <t>3,250x＝3,150x＋9,000</t>
    <phoneticPr fontId="3"/>
  </si>
  <si>
    <t>外部購入単価</t>
    <rPh sb="0" eb="2">
      <t>ガイブ</t>
    </rPh>
    <rPh sb="2" eb="4">
      <t>コウニュウ</t>
    </rPh>
    <rPh sb="4" eb="6">
      <t>タンカ</t>
    </rPh>
    <phoneticPr fontId="3"/>
  </si>
  <si>
    <t>x</t>
    <phoneticPr fontId="3"/>
  </si>
  <si>
    <t>時計購入＋飾り部品内製</t>
    <rPh sb="0" eb="2">
      <t>トケイ</t>
    </rPh>
    <rPh sb="2" eb="4">
      <t>コウニュウ</t>
    </rPh>
    <rPh sb="5" eb="6">
      <t>カザ</t>
    </rPh>
    <rPh sb="7" eb="9">
      <t>ブヒン</t>
    </rPh>
    <rPh sb="9" eb="11">
      <t>ナイセイ</t>
    </rPh>
    <phoneticPr fontId="3"/>
  </si>
  <si>
    <t>時計内製＋飾り部品購入</t>
    <rPh sb="0" eb="2">
      <t>トケイ</t>
    </rPh>
    <rPh sb="2" eb="4">
      <t>ナイセイ</t>
    </rPh>
    <rPh sb="5" eb="6">
      <t>カザ</t>
    </rPh>
    <rPh sb="7" eb="9">
      <t>ブヒン</t>
    </rPh>
    <rPh sb="9" eb="11">
      <t>コウニュウ</t>
    </rPh>
    <phoneticPr fontId="3"/>
  </si>
  <si>
    <t>内製案</t>
    <rPh sb="0" eb="2">
      <t>ナイセイ</t>
    </rPh>
    <rPh sb="2" eb="3">
      <t>アン</t>
    </rPh>
    <phoneticPr fontId="3"/>
  </si>
  <si>
    <t>購入案</t>
    <rPh sb="0" eb="2">
      <t>コウニュウ</t>
    </rPh>
    <rPh sb="2" eb="3">
      <t>アン</t>
    </rPh>
    <phoneticPr fontId="3"/>
  </si>
  <si>
    <t>｢200hで時計⇔飾り部品どちらを作る方が有利かの意思決定｣に読み替える</t>
  </si>
  <si>
    <t>そこで飾り部品の内製⇔購入ではなく、</t>
    <rPh sb="3" eb="4">
      <t>カザ</t>
    </rPh>
    <rPh sb="5" eb="7">
      <t>ブヒン</t>
    </rPh>
    <rPh sb="8" eb="10">
      <t>ナイセイ</t>
    </rPh>
    <rPh sb="11" eb="13">
      <t>コウニュウ</t>
    </rPh>
    <phoneticPr fontId="3"/>
  </si>
  <si>
    <t>方程式で解く。</t>
  </si>
  <si>
    <t>飾り部品の販売単価&gt;変動製造原価なので、作らないより作る方が儲かると判断できる。</t>
    <rPh sb="0" eb="1">
      <t>カザ</t>
    </rPh>
    <rPh sb="2" eb="4">
      <t>ブヒン</t>
    </rPh>
    <rPh sb="5" eb="7">
      <t>ハンバイ</t>
    </rPh>
    <rPh sb="7" eb="9">
      <t>タンカ</t>
    </rPh>
    <rPh sb="10" eb="12">
      <t>ヘンドウ</t>
    </rPh>
    <rPh sb="12" eb="14">
      <t>セイゾウ</t>
    </rPh>
    <rPh sb="14" eb="16">
      <t>ゲンカ</t>
    </rPh>
    <rPh sb="20" eb="21">
      <t>ツク</t>
    </rPh>
    <rPh sb="26" eb="27">
      <t>ツク</t>
    </rPh>
    <rPh sb="28" eb="29">
      <t>ホウ</t>
    </rPh>
    <rPh sb="30" eb="31">
      <t>モウ</t>
    </rPh>
    <rPh sb="34" eb="36">
      <t>ハンダン</t>
    </rPh>
    <phoneticPr fontId="3"/>
  </si>
  <si>
    <t>差額原価が購入案＝内製案となる優劣分岐点をxと置き、</t>
    <rPh sb="0" eb="2">
      <t>サガク</t>
    </rPh>
    <rPh sb="2" eb="4">
      <t>ゲンカ</t>
    </rPh>
    <rPh sb="5" eb="7">
      <t>コウニュウ</t>
    </rPh>
    <rPh sb="7" eb="8">
      <t>アン</t>
    </rPh>
    <rPh sb="9" eb="11">
      <t>ナイセイ</t>
    </rPh>
    <rPh sb="11" eb="12">
      <t>アン</t>
    </rPh>
    <rPh sb="15" eb="17">
      <t>ユウレツ</t>
    </rPh>
    <rPh sb="17" eb="20">
      <t>ブンキテン</t>
    </rPh>
    <rPh sb="23" eb="24">
      <t>オ</t>
    </rPh>
    <phoneticPr fontId="3"/>
  </si>
  <si>
    <t>内製・外部購入それぞれの場合の差額収益を求め、比較する。</t>
    <rPh sb="0" eb="2">
      <t>ナイセイ</t>
    </rPh>
    <rPh sb="3" eb="5">
      <t>ガイブ</t>
    </rPh>
    <rPh sb="5" eb="7">
      <t>コウニュウ</t>
    </rPh>
    <rPh sb="12" eb="14">
      <t>バアイ</t>
    </rPh>
    <rPh sb="15" eb="17">
      <t>サガク</t>
    </rPh>
    <rPh sb="17" eb="19">
      <t>シュウエキ</t>
    </rPh>
    <rPh sb="20" eb="21">
      <t>モト</t>
    </rPh>
    <rPh sb="23" eb="25">
      <t>ヒカク</t>
    </rPh>
    <phoneticPr fontId="3"/>
  </si>
  <si>
    <t>【問3】感度分析 (上級)</t>
    <rPh sb="1" eb="2">
      <t>トイ</t>
    </rPh>
    <rPh sb="4" eb="6">
      <t>カンド</t>
    </rPh>
    <rPh sb="6" eb="8">
      <t>ブンセキ</t>
    </rPh>
    <rPh sb="10" eb="12">
      <t>ジョウキュウ</t>
    </rPh>
    <phoneticPr fontId="3"/>
  </si>
  <si>
    <t>【問2】感度分析～優劣分岐点</t>
    <rPh sb="1" eb="2">
      <t>トイ</t>
    </rPh>
    <rPh sb="4" eb="6">
      <t>カンド</t>
    </rPh>
    <rPh sb="6" eb="8">
      <t>ブンセキ</t>
    </rPh>
    <rPh sb="9" eb="11">
      <t>ユウレツ</t>
    </rPh>
    <rPh sb="11" eb="14">
      <t>ブンキテン</t>
    </rPh>
    <phoneticPr fontId="3"/>
  </si>
  <si>
    <t>【問1】内外製の意思決定</t>
    <rPh sb="1" eb="2">
      <t>トイ</t>
    </rPh>
    <phoneticPr fontId="3"/>
  </si>
  <si>
    <t xml:space="preserve">  パターンを一つ一つ覚えるような学習は非効率なので、理解しづらい場合はスキップしてOK。</t>
    <rPh sb="7" eb="8">
      <t>ヒト</t>
    </rPh>
    <rPh sb="9" eb="10">
      <t>ヒト</t>
    </rPh>
    <rPh sb="11" eb="12">
      <t>オボ</t>
    </rPh>
    <rPh sb="17" eb="19">
      <t>ガクシュウ</t>
    </rPh>
    <rPh sb="20" eb="23">
      <t>ヒコウリツ</t>
    </rPh>
    <rPh sb="27" eb="29">
      <t>リカイ</t>
    </rPh>
    <rPh sb="33" eb="35">
      <t>バアイ</t>
    </rPh>
    <phoneticPr fontId="3"/>
  </si>
  <si>
    <t>※問3パターンのような｢代替案の組み合わせ｣は、直感的にイメージしづらい。</t>
    <rPh sb="1" eb="2">
      <t>トイ</t>
    </rPh>
    <rPh sb="12" eb="15">
      <t>ダイタイアン</t>
    </rPh>
    <rPh sb="16" eb="17">
      <t>ク</t>
    </rPh>
    <rPh sb="18" eb="19">
      <t>ア</t>
    </rPh>
    <rPh sb="24" eb="27">
      <t>チョッカンテキ</t>
    </rPh>
    <phoneticPr fontId="3"/>
  </si>
  <si>
    <t>変動費計</t>
    <rPh sb="0" eb="2">
      <t>ヘンドウ</t>
    </rPh>
    <rPh sb="2" eb="3">
      <t>ヒ</t>
    </rPh>
    <rPh sb="3" eb="4">
      <t>ケイ</t>
    </rPh>
    <phoneticPr fontId="3"/>
  </si>
  <si>
    <t>円/年</t>
    <rPh sb="0" eb="1">
      <t>エン</t>
    </rPh>
    <rPh sb="2" eb="3">
      <t>ネン</t>
    </rPh>
    <phoneticPr fontId="3"/>
  </si>
  <si>
    <t>固定費分</t>
    <rPh sb="0" eb="2">
      <t>コテイ</t>
    </rPh>
    <rPh sb="2" eb="3">
      <t>ヒ</t>
    </rPh>
    <rPh sb="3" eb="4">
      <t>ブン</t>
    </rPh>
    <phoneticPr fontId="3"/>
  </si>
  <si>
    <t>変動費率</t>
    <rPh sb="0" eb="2">
      <t>ヘンドウ</t>
    </rPh>
    <rPh sb="2" eb="3">
      <t>ヒ</t>
    </rPh>
    <rPh sb="3" eb="4">
      <t>リツ</t>
    </rPh>
    <phoneticPr fontId="3"/>
  </si>
  <si>
    <t>年間稼働時間</t>
    <rPh sb="0" eb="2">
      <t>ネンカン</t>
    </rPh>
    <rPh sb="2" eb="4">
      <t>カドウ</t>
    </rPh>
    <rPh sb="4" eb="6">
      <t>ジカン</t>
    </rPh>
    <phoneticPr fontId="3"/>
  </si>
  <si>
    <t>販売価格</t>
    <rPh sb="0" eb="2">
      <t>ハンバイ</t>
    </rPh>
    <rPh sb="2" eb="4">
      <t>カカク</t>
    </rPh>
    <phoneticPr fontId="3"/>
  </si>
  <si>
    <t>年間予算</t>
    <rPh sb="0" eb="2">
      <t>ネンカン</t>
    </rPh>
    <rPh sb="2" eb="4">
      <t>ヨサン</t>
    </rPh>
    <phoneticPr fontId="3"/>
  </si>
  <si>
    <t>製造間接費の固変分解</t>
    <rPh sb="0" eb="2">
      <t>セイゾウ</t>
    </rPh>
    <rPh sb="2" eb="4">
      <t>カンセツ</t>
    </rPh>
    <rPh sb="4" eb="5">
      <t>ヒ</t>
    </rPh>
    <rPh sb="6" eb="10">
      <t>コヘンブンカイ</t>
    </rPh>
    <phoneticPr fontId="3"/>
  </si>
  <si>
    <t>資料の整理</t>
    <rPh sb="0" eb="2">
      <t>シリョウ</t>
    </rPh>
    <rPh sb="3" eb="5">
      <t>セイリ</t>
    </rPh>
    <phoneticPr fontId="3"/>
  </si>
  <si>
    <t>・特別注文→利益の大小を考える。 ⇔  内外製→原価の大小だけを考える。そう割り切るとスッキリ。</t>
    <rPh sb="1" eb="3">
      <t>トクベツ</t>
    </rPh>
    <rPh sb="3" eb="5">
      <t>チュウモン</t>
    </rPh>
    <rPh sb="6" eb="8">
      <t>リエキ</t>
    </rPh>
    <rPh sb="9" eb="11">
      <t>ダイショウ</t>
    </rPh>
    <rPh sb="12" eb="13">
      <t>カンガ</t>
    </rPh>
    <rPh sb="20" eb="22">
      <t>ナイガイ</t>
    </rPh>
    <rPh sb="22" eb="23">
      <t>セイ</t>
    </rPh>
    <rPh sb="24" eb="26">
      <t>ゲンカ</t>
    </rPh>
    <rPh sb="27" eb="29">
      <t>ダイショウ</t>
    </rPh>
    <rPh sb="32" eb="33">
      <t>カンガ</t>
    </rPh>
    <rPh sb="38" eb="39">
      <t>ワ</t>
    </rPh>
    <rPh sb="40" eb="41">
      <t>キ</t>
    </rPh>
    <phoneticPr fontId="3"/>
  </si>
  <si>
    <t>・特別注文が｢買ってやるから負けろ｣の意思決定とすれば、内外製は｢負けるから買いませんか？｣の意思決定。</t>
    <rPh sb="1" eb="3">
      <t>トクベツ</t>
    </rPh>
    <rPh sb="3" eb="5">
      <t>チュウモン</t>
    </rPh>
    <rPh sb="7" eb="8">
      <t>カ</t>
    </rPh>
    <rPh sb="14" eb="15">
      <t>マ</t>
    </rPh>
    <rPh sb="19" eb="21">
      <t>イシ</t>
    </rPh>
    <rPh sb="21" eb="23">
      <t>ケッテイ</t>
    </rPh>
    <rPh sb="28" eb="30">
      <t>ナイガイ</t>
    </rPh>
    <rPh sb="30" eb="31">
      <t>セイ</t>
    </rPh>
    <rPh sb="33" eb="34">
      <t>マ</t>
    </rPh>
    <rPh sb="38" eb="39">
      <t>カ</t>
    </rPh>
    <rPh sb="47" eb="49">
      <t>イシ</t>
    </rPh>
    <rPh sb="49" eb="51">
      <t>ケッテイ</t>
    </rPh>
    <phoneticPr fontId="3"/>
  </si>
  <si>
    <t xml:space="preserve">CASE5 内外製の意思決定 例題 P21 </t>
    <rPh sb="6" eb="8">
      <t>ナイガイ</t>
    </rPh>
    <rPh sb="8" eb="9">
      <t>セイ</t>
    </rPh>
    <rPh sb="10" eb="12">
      <t>イシ</t>
    </rPh>
    <rPh sb="12" eb="14">
      <t>ケッテイ</t>
    </rPh>
    <rPh sb="15" eb="17">
      <t>レイダイ</t>
    </rPh>
    <phoneticPr fontId="3"/>
  </si>
  <si>
    <t>円までなら値下げして良い。</t>
    <rPh sb="0" eb="1">
      <t>エン</t>
    </rPh>
    <rPh sb="5" eb="7">
      <t>ネサ</t>
    </rPh>
    <rPh sb="10" eb="11">
      <t>ヨ</t>
    </rPh>
    <phoneticPr fontId="3"/>
  </si>
  <si>
    <t>値下げ余地</t>
    <rPh sb="0" eb="2">
      <t>ネサ</t>
    </rPh>
    <rPh sb="3" eb="5">
      <t>ヨチ</t>
    </rPh>
    <phoneticPr fontId="3"/>
  </si>
  <si>
    <t>値下げ余地をxと置き、x×4,500個＝90,000円の方程式を解く。</t>
    <rPh sb="0" eb="2">
      <t>ネサ</t>
    </rPh>
    <rPh sb="3" eb="5">
      <t>ヨチ</t>
    </rPh>
    <rPh sb="8" eb="9">
      <t>オ</t>
    </rPh>
    <rPh sb="18" eb="19">
      <t>コ</t>
    </rPh>
    <rPh sb="26" eb="27">
      <t>エン</t>
    </rPh>
    <rPh sb="28" eb="31">
      <t>ホウテイシキ</t>
    </rPh>
    <rPh sb="32" eb="33">
      <t>ト</t>
    </rPh>
    <phoneticPr fontId="3"/>
  </si>
  <si>
    <t>特別注文を引き受ける場合の値下げ余地</t>
    <rPh sb="0" eb="2">
      <t>トクベツ</t>
    </rPh>
    <rPh sb="2" eb="4">
      <t>チュウモン</t>
    </rPh>
    <rPh sb="5" eb="6">
      <t>ヒ</t>
    </rPh>
    <rPh sb="7" eb="8">
      <t>ウ</t>
    </rPh>
    <rPh sb="10" eb="12">
      <t>バアイ</t>
    </rPh>
    <rPh sb="13" eb="15">
      <t>ネサ</t>
    </rPh>
    <rPh sb="16" eb="18">
      <t>ヨチ</t>
    </rPh>
    <phoneticPr fontId="3"/>
  </si>
  <si>
    <t>【問3】</t>
    <rPh sb="1" eb="2">
      <t>トイ</t>
    </rPh>
    <phoneticPr fontId="3"/>
  </si>
  <si>
    <t>円のマイナスなので、引き受けない。</t>
    <rPh sb="0" eb="1">
      <t>エン</t>
    </rPh>
    <rPh sb="10" eb="11">
      <t>ヒ</t>
    </rPh>
    <rPh sb="12" eb="13">
      <t>ウ</t>
    </rPh>
    <phoneticPr fontId="3"/>
  </si>
  <si>
    <t>値下げ額</t>
    <rPh sb="0" eb="2">
      <t>ネサ</t>
    </rPh>
    <rPh sb="3" eb="4">
      <t>ガク</t>
    </rPh>
    <phoneticPr fontId="3"/>
  </si>
  <si>
    <t>特別注文を受けることによる差額費用</t>
    <rPh sb="0" eb="2">
      <t>トクベツ</t>
    </rPh>
    <rPh sb="2" eb="4">
      <t>チュウモン</t>
    </rPh>
    <rPh sb="5" eb="6">
      <t>ウ</t>
    </rPh>
    <rPh sb="13" eb="15">
      <t>サガク</t>
    </rPh>
    <rPh sb="15" eb="17">
      <t>ヒヨウ</t>
    </rPh>
    <phoneticPr fontId="3"/>
  </si>
  <si>
    <t>特別注文を受けることによる差額収益</t>
    <rPh sb="0" eb="2">
      <t>トクベツ</t>
    </rPh>
    <rPh sb="2" eb="4">
      <t>チュウモン</t>
    </rPh>
    <rPh sb="5" eb="6">
      <t>ウ</t>
    </rPh>
    <rPh sb="13" eb="15">
      <t>サガク</t>
    </rPh>
    <rPh sb="15" eb="17">
      <t>シュウエキ</t>
    </rPh>
    <phoneticPr fontId="3"/>
  </si>
  <si>
    <t>特別注文を受ける場合の値下げ=機会費用の考慮</t>
    <rPh sb="0" eb="2">
      <t>トクベツ</t>
    </rPh>
    <rPh sb="2" eb="4">
      <t>チュウモン</t>
    </rPh>
    <rPh sb="5" eb="6">
      <t>ウ</t>
    </rPh>
    <rPh sb="8" eb="10">
      <t>バアイ</t>
    </rPh>
    <rPh sb="11" eb="13">
      <t>ネサ</t>
    </rPh>
    <rPh sb="15" eb="17">
      <t>キカイ</t>
    </rPh>
    <rPh sb="17" eb="19">
      <t>ヒヨウ</t>
    </rPh>
    <rPh sb="20" eb="22">
      <t>コウリョ</t>
    </rPh>
    <phoneticPr fontId="3"/>
  </si>
  <si>
    <t>※ここは値下げ額と比較するため、テキスト通り金額で解答した。</t>
    <rPh sb="4" eb="6">
      <t>ネサ</t>
    </rPh>
    <rPh sb="7" eb="8">
      <t>ガク</t>
    </rPh>
    <rPh sb="9" eb="11">
      <t>ヒカク</t>
    </rPh>
    <rPh sb="20" eb="21">
      <t>トオ</t>
    </rPh>
    <rPh sb="22" eb="24">
      <t>キンガク</t>
    </rPh>
    <rPh sb="25" eb="27">
      <t>カイトウ</t>
    </rPh>
    <phoneticPr fontId="3"/>
  </si>
  <si>
    <t>【問2】</t>
    <rPh sb="1" eb="2">
      <t>トイ</t>
    </rPh>
    <phoneticPr fontId="3"/>
  </si>
  <si>
    <t>固定費は、問題文に特定の指示がない限り同額原価なので、考慮しない。</t>
    <rPh sb="0" eb="3">
      <t>コテイヒ</t>
    </rPh>
    <rPh sb="5" eb="8">
      <t>モンダイブン</t>
    </rPh>
    <rPh sb="9" eb="11">
      <t>トクテイ</t>
    </rPh>
    <rPh sb="12" eb="14">
      <t>シジ</t>
    </rPh>
    <rPh sb="17" eb="18">
      <t>カギ</t>
    </rPh>
    <rPh sb="27" eb="29">
      <t>コウリョ</t>
    </rPh>
    <phoneticPr fontId="3"/>
  </si>
  <si>
    <t>固定製造原価</t>
    <rPh sb="0" eb="2">
      <t>コテイ</t>
    </rPh>
    <rPh sb="2" eb="4">
      <t>セイゾウ</t>
    </rPh>
    <rPh sb="4" eb="6">
      <t>ゲンカ</t>
    </rPh>
    <phoneticPr fontId="3"/>
  </si>
  <si>
    <t>※最適セールスミックスの様に、1個当たり限界利益の考え方を使うと、金額を計算せず解答ショートカット。</t>
    <rPh sb="1" eb="3">
      <t>サイテキ</t>
    </rPh>
    <rPh sb="12" eb="13">
      <t>ヨウ</t>
    </rPh>
    <rPh sb="16" eb="17">
      <t>コ</t>
    </rPh>
    <rPh sb="17" eb="18">
      <t>ア</t>
    </rPh>
    <rPh sb="20" eb="22">
      <t>ゲンカイ</t>
    </rPh>
    <rPh sb="22" eb="24">
      <t>リエキ</t>
    </rPh>
    <rPh sb="25" eb="26">
      <t>カンガ</t>
    </rPh>
    <rPh sb="27" eb="28">
      <t>カタ</t>
    </rPh>
    <rPh sb="29" eb="30">
      <t>ツカ</t>
    </rPh>
    <rPh sb="33" eb="35">
      <t>キンガク</t>
    </rPh>
    <rPh sb="36" eb="38">
      <t>ケイサン</t>
    </rPh>
    <rPh sb="40" eb="42">
      <t>カイトウ</t>
    </rPh>
    <phoneticPr fontId="3"/>
  </si>
  <si>
    <t>円でプラスなので、この注文を引き受ける。</t>
    <rPh sb="0" eb="1">
      <t>エン</t>
    </rPh>
    <rPh sb="11" eb="13">
      <t>チュウモン</t>
    </rPh>
    <rPh sb="14" eb="15">
      <t>ヒ</t>
    </rPh>
    <rPh sb="16" eb="17">
      <t>ウ</t>
    </rPh>
    <phoneticPr fontId="3"/>
  </si>
  <si>
    <t>1個当たり限利</t>
    <rPh sb="1" eb="2">
      <t>コ</t>
    </rPh>
    <rPh sb="2" eb="3">
      <t>ア</t>
    </rPh>
    <rPh sb="5" eb="6">
      <t>キリ</t>
    </rPh>
    <rPh sb="6" eb="7">
      <t>リ</t>
    </rPh>
    <phoneticPr fontId="3"/>
  </si>
  <si>
    <t>物品運送費</t>
    <rPh sb="0" eb="2">
      <t>ブッピン</t>
    </rPh>
    <rPh sb="2" eb="5">
      <t>ウンソウヒ</t>
    </rPh>
    <phoneticPr fontId="3"/>
  </si>
  <si>
    <t>販売員手数料</t>
    <rPh sb="0" eb="3">
      <t>ハンバイイン</t>
    </rPh>
    <rPh sb="3" eb="6">
      <t>テスウリョウ</t>
    </rPh>
    <phoneticPr fontId="3"/>
  </si>
  <si>
    <t>変動販売費</t>
    <rPh sb="0" eb="2">
      <t>ヘンドウ</t>
    </rPh>
    <rPh sb="2" eb="4">
      <t>ハンバイ</t>
    </rPh>
    <rPh sb="4" eb="5">
      <t>ヒ</t>
    </rPh>
    <phoneticPr fontId="3"/>
  </si>
  <si>
    <t>変動製造原価</t>
    <rPh sb="0" eb="2">
      <t>ヘンドウ</t>
    </rPh>
    <rPh sb="2" eb="4">
      <t>セイゾウ</t>
    </rPh>
    <rPh sb="4" eb="6">
      <t>ゲンカ</t>
    </rPh>
    <phoneticPr fontId="3"/>
  </si>
  <si>
    <t>特別注文の個数</t>
    <rPh sb="0" eb="2">
      <t>トクベツ</t>
    </rPh>
    <rPh sb="2" eb="4">
      <t>チュウモン</t>
    </rPh>
    <rPh sb="5" eb="7">
      <t>コスウ</t>
    </rPh>
    <phoneticPr fontId="3"/>
  </si>
  <si>
    <t>単価400円の場合</t>
    <rPh sb="0" eb="2">
      <t>タンカ</t>
    </rPh>
    <rPh sb="5" eb="6">
      <t>エン</t>
    </rPh>
    <rPh sb="7" eb="9">
      <t>バアイ</t>
    </rPh>
    <phoneticPr fontId="3"/>
  </si>
  <si>
    <t>標準原価カード＋直接原価計算PL</t>
    <rPh sb="0" eb="2">
      <t>ヒョウジュン</t>
    </rPh>
    <rPh sb="2" eb="4">
      <t>ゲンカ</t>
    </rPh>
    <rPh sb="8" eb="10">
      <t>チョクセツ</t>
    </rPh>
    <rPh sb="10" eb="12">
      <t>ゲンカ</t>
    </rPh>
    <rPh sb="12" eb="14">
      <t>ケイサン</t>
    </rPh>
    <phoneticPr fontId="3"/>
  </si>
  <si>
    <t>※テキストは説明上金額で解答しているが、ここではショートカットし、限界利益単価の±で解答した。</t>
    <rPh sb="6" eb="8">
      <t>セツメイ</t>
    </rPh>
    <rPh sb="8" eb="9">
      <t>ジョウ</t>
    </rPh>
    <rPh sb="9" eb="11">
      <t>キンガク</t>
    </rPh>
    <rPh sb="12" eb="14">
      <t>カイトウ</t>
    </rPh>
    <rPh sb="33" eb="35">
      <t>ゲンカイ</t>
    </rPh>
    <rPh sb="35" eb="37">
      <t>リエキ</t>
    </rPh>
    <rPh sb="37" eb="39">
      <t>タンカ</t>
    </rPh>
    <rPh sb="42" eb="44">
      <t>カイトウ</t>
    </rPh>
    <phoneticPr fontId="3"/>
  </si>
  <si>
    <t>【問1】</t>
    <rPh sb="1" eb="2">
      <t>トイ</t>
    </rPh>
    <phoneticPr fontId="3"/>
  </si>
  <si>
    <t>・場合により単価で解答できるケースもある。またほとんどの場合、固定費は｢同額原価｣となり計算に使わなくて良い。</t>
    <rPh sb="1" eb="3">
      <t>バアイ</t>
    </rPh>
    <rPh sb="6" eb="8">
      <t>タンカ</t>
    </rPh>
    <rPh sb="9" eb="11">
      <t>カイトウ</t>
    </rPh>
    <rPh sb="28" eb="30">
      <t>バアイ</t>
    </rPh>
    <rPh sb="31" eb="34">
      <t>コテイヒ</t>
    </rPh>
    <rPh sb="36" eb="38">
      <t>ドウガク</t>
    </rPh>
    <rPh sb="38" eb="40">
      <t>ゲンカ</t>
    </rPh>
    <rPh sb="44" eb="46">
      <t>ケイサン</t>
    </rPh>
    <rPh sb="47" eb="48">
      <t>ツカ</t>
    </rPh>
    <rPh sb="52" eb="53">
      <t>ヨ</t>
    </rPh>
    <phoneticPr fontId="3"/>
  </si>
  <si>
    <t>・特別注文の引受可否は、その注文による｢差額収益｣-｢差額費用｣＝｢差額収益｣が±どちらになるかで判断する。</t>
    <rPh sb="1" eb="3">
      <t>トクベツ</t>
    </rPh>
    <rPh sb="3" eb="5">
      <t>チュウモン</t>
    </rPh>
    <rPh sb="6" eb="8">
      <t>ヒキウケ</t>
    </rPh>
    <rPh sb="8" eb="10">
      <t>カヒ</t>
    </rPh>
    <rPh sb="14" eb="16">
      <t>チュウモン</t>
    </rPh>
    <rPh sb="20" eb="22">
      <t>サガク</t>
    </rPh>
    <rPh sb="22" eb="24">
      <t>シュウエキ</t>
    </rPh>
    <rPh sb="27" eb="29">
      <t>サガク</t>
    </rPh>
    <rPh sb="29" eb="31">
      <t>ヒヨウ</t>
    </rPh>
    <rPh sb="34" eb="36">
      <t>サガク</t>
    </rPh>
    <rPh sb="36" eb="38">
      <t>シュウエキ</t>
    </rPh>
    <rPh sb="49" eb="51">
      <t>ハンダン</t>
    </rPh>
    <phoneticPr fontId="3"/>
  </si>
  <si>
    <t>CASE4 特別注文の引受可否 例題 P.13</t>
    <rPh sb="6" eb="8">
      <t>トクベツ</t>
    </rPh>
    <rPh sb="8" eb="10">
      <t>チュウモン</t>
    </rPh>
    <rPh sb="11" eb="13">
      <t>ヒキウケ</t>
    </rPh>
    <rPh sb="13" eb="15">
      <t>カヒ</t>
    </rPh>
    <rPh sb="16" eb="18">
      <t>レイダイ</t>
    </rPh>
    <phoneticPr fontId="3"/>
  </si>
  <si>
    <t>例題エクセル週</t>
    <rPh sb="0" eb="2">
      <t>レイダイ</t>
    </rPh>
    <rPh sb="6" eb="7">
      <t>シュウ</t>
    </rPh>
    <phoneticPr fontId="3"/>
  </si>
  <si>
    <t xml:space="preserve">②営業CF(利払い後)を、現価係数で割り引くことはありえない。←この理屈を案外見落としがち。 </t>
    <rPh sb="1" eb="3">
      <t>エイギョウ</t>
    </rPh>
    <rPh sb="6" eb="8">
      <t>リバラ</t>
    </rPh>
    <rPh sb="9" eb="10">
      <t>ゴ</t>
    </rPh>
    <rPh sb="13" eb="15">
      <t>ゲンカ</t>
    </rPh>
    <rPh sb="15" eb="17">
      <t>ケイスウ</t>
    </rPh>
    <rPh sb="18" eb="19">
      <t>ワ</t>
    </rPh>
    <rPh sb="20" eb="21">
      <t>ビ</t>
    </rPh>
    <rPh sb="34" eb="36">
      <t>リクツ</t>
    </rPh>
    <rPh sb="37" eb="39">
      <t>アンガイ</t>
    </rPh>
    <rPh sb="39" eb="41">
      <t>ミオ</t>
    </rPh>
    <phoneticPr fontId="3"/>
  </si>
  <si>
    <t>①NPV計算問題は、Step1→2→3のワンパターン。これをCF計算書と混ぜて覚えると、解き方を選ぶ精度が落ちる。</t>
    <rPh sb="4" eb="6">
      <t>ケイサン</t>
    </rPh>
    <rPh sb="6" eb="8">
      <t>モンダイ</t>
    </rPh>
    <rPh sb="32" eb="35">
      <t>ケイサンショ</t>
    </rPh>
    <rPh sb="36" eb="37">
      <t>マ</t>
    </rPh>
    <rPh sb="39" eb="40">
      <t>オボ</t>
    </rPh>
    <rPh sb="44" eb="45">
      <t>ト</t>
    </rPh>
    <rPh sb="46" eb="47">
      <t>カタ</t>
    </rPh>
    <rPh sb="48" eb="49">
      <t>エラ</t>
    </rPh>
    <rPh sb="50" eb="52">
      <t>セイド</t>
    </rPh>
    <rPh sb="53" eb="54">
      <t>オ</t>
    </rPh>
    <phoneticPr fontId="3"/>
  </si>
  <si>
    <t>【関心しない理由】</t>
    <rPh sb="1" eb="3">
      <t>カンシン</t>
    </rPh>
    <rPh sb="6" eb="8">
      <t>リユウ</t>
    </rPh>
    <phoneticPr fontId="3"/>
  </si>
  <si>
    <t>そのため営業CF＝CF計算書の問題でちゅ！との教え方が横行するが、これは関心しない。</t>
    <rPh sb="4" eb="6">
      <t>エイギョウ</t>
    </rPh>
    <rPh sb="11" eb="14">
      <t>ケイサンショ</t>
    </rPh>
    <rPh sb="15" eb="17">
      <t>モンダイ</t>
    </rPh>
    <rPh sb="23" eb="24">
      <t>オシ</t>
    </rPh>
    <rPh sb="25" eb="26">
      <t>カタ</t>
    </rPh>
    <rPh sb="27" eb="29">
      <t>オウコウ</t>
    </rPh>
    <rPh sb="36" eb="38">
      <t>カンシン</t>
    </rPh>
    <phoneticPr fontId="3"/>
  </si>
  <si>
    <t>ただし診断士では｢資金繰り｣をきちんと教えないため、｢事例Ⅳ｣のNPV問題で、運転資本増減が問われると、難易度が急に上がる。</t>
    <rPh sb="3" eb="6">
      <t>シンダンシ</t>
    </rPh>
    <rPh sb="9" eb="11">
      <t>シキン</t>
    </rPh>
    <rPh sb="11" eb="12">
      <t>グ</t>
    </rPh>
    <rPh sb="19" eb="20">
      <t>オシ</t>
    </rPh>
    <rPh sb="27" eb="29">
      <t>ジレイ</t>
    </rPh>
    <rPh sb="35" eb="37">
      <t>モンダイ</t>
    </rPh>
    <rPh sb="39" eb="41">
      <t>ウンテン</t>
    </rPh>
    <rPh sb="41" eb="43">
      <t>シホン</t>
    </rPh>
    <rPh sb="43" eb="45">
      <t>ゾウゲン</t>
    </rPh>
    <rPh sb="46" eb="47">
      <t>ト</t>
    </rPh>
    <rPh sb="52" eb="55">
      <t>ナンイド</t>
    </rPh>
    <rPh sb="56" eb="57">
      <t>キュウ</t>
    </rPh>
    <rPh sb="58" eb="59">
      <t>ア</t>
    </rPh>
    <phoneticPr fontId="3"/>
  </si>
  <si>
    <t>そのため、NPV計算における｢資金繰り｣をCF計算書の問題と混同することはない。</t>
    <rPh sb="8" eb="10">
      <t>ケイサン</t>
    </rPh>
    <rPh sb="15" eb="17">
      <t>シキン</t>
    </rPh>
    <rPh sb="17" eb="18">
      <t>グ</t>
    </rPh>
    <rPh sb="23" eb="26">
      <t>ケイサンショ</t>
    </rPh>
    <rPh sb="27" eb="29">
      <t>モンダイ</t>
    </rPh>
    <rPh sb="30" eb="32">
      <t>コンドウ</t>
    </rPh>
    <phoneticPr fontId="3"/>
  </si>
  <si>
    <t>簿記1級では、これを｢資金繰り｣論点として、CF計算書とは別に切り離した独立論点として教える。</t>
    <rPh sb="0" eb="2">
      <t>ボキ</t>
    </rPh>
    <rPh sb="3" eb="4">
      <t>キュウ</t>
    </rPh>
    <rPh sb="11" eb="13">
      <t>シキン</t>
    </rPh>
    <rPh sb="13" eb="14">
      <t>グ</t>
    </rPh>
    <rPh sb="16" eb="18">
      <t>ロンテン</t>
    </rPh>
    <rPh sb="24" eb="27">
      <t>ケイサンショ</t>
    </rPh>
    <rPh sb="29" eb="30">
      <t>ベツ</t>
    </rPh>
    <rPh sb="31" eb="32">
      <t>キ</t>
    </rPh>
    <rPh sb="33" eb="34">
      <t>ハナ</t>
    </rPh>
    <rPh sb="36" eb="38">
      <t>ドクリツ</t>
    </rPh>
    <rPh sb="38" eb="40">
      <t>ロンテン</t>
    </rPh>
    <rPh sb="43" eb="44">
      <t>オシ</t>
    </rPh>
    <phoneticPr fontId="3"/>
  </si>
  <si>
    <t>正味運転資本</t>
    <rPh sb="0" eb="2">
      <t>ショウミ</t>
    </rPh>
    <rPh sb="2" eb="4">
      <t>ウンテン</t>
    </rPh>
    <rPh sb="4" eb="6">
      <t>シホン</t>
    </rPh>
    <phoneticPr fontId="3"/>
  </si>
  <si>
    <t>正味運転資本の計算(これはCF計算書でなく、資金繰りの論点)</t>
    <rPh sb="0" eb="2">
      <t>ショウミ</t>
    </rPh>
    <rPh sb="2" eb="4">
      <t>ウンテン</t>
    </rPh>
    <rPh sb="4" eb="6">
      <t>シホン</t>
    </rPh>
    <rPh sb="7" eb="9">
      <t>ケイサン</t>
    </rPh>
    <rPh sb="15" eb="18">
      <t>ケイサンショ</t>
    </rPh>
    <rPh sb="22" eb="24">
      <t>シキン</t>
    </rPh>
    <rPh sb="24" eb="25">
      <t>グ</t>
    </rPh>
    <rPh sb="27" eb="29">
      <t>ロンテン</t>
    </rPh>
    <phoneticPr fontId="3"/>
  </si>
  <si>
    <t>年次損益の見積り →CIFおよび運転資金(資金繰り)の計算に使う</t>
    <rPh sb="0" eb="2">
      <t>ネンジ</t>
    </rPh>
    <rPh sb="2" eb="4">
      <t>ソンエキ</t>
    </rPh>
    <rPh sb="5" eb="7">
      <t>ミツ</t>
    </rPh>
    <rPh sb="16" eb="18">
      <t>ウンテン</t>
    </rPh>
    <rPh sb="18" eb="20">
      <t>シキン</t>
    </rPh>
    <rPh sb="21" eb="23">
      <t>シキン</t>
    </rPh>
    <rPh sb="23" eb="24">
      <t>グ</t>
    </rPh>
    <rPh sb="27" eb="29">
      <t>ケイサン</t>
    </rPh>
    <rPh sb="30" eb="31">
      <t>ツカ</t>
    </rPh>
    <phoneticPr fontId="3"/>
  </si>
  <si>
    <t>資料</t>
    <rPh sb="0" eb="2">
      <t>シリョウ</t>
    </rPh>
    <phoneticPr fontId="3"/>
  </si>
  <si>
    <t>でプラスとなり、投資案を採用する</t>
    <rPh sb="8" eb="10">
      <t>トウシ</t>
    </rPh>
    <rPh sb="10" eb="11">
      <t>アン</t>
    </rPh>
    <rPh sb="12" eb="14">
      <t>サイヨウ</t>
    </rPh>
    <phoneticPr fontId="3"/>
  </si>
  <si>
    <t>NPV</t>
    <phoneticPr fontId="3"/>
  </si>
  <si>
    <t>現在価値PV</t>
    <rPh sb="0" eb="2">
      <t>ゲンザイ</t>
    </rPh>
    <rPh sb="2" eb="4">
      <t>カチ</t>
    </rPh>
    <phoneticPr fontId="3"/>
  </si>
  <si>
    <t>は資本コスト8%を上回るため、投資案を採用する。</t>
    <rPh sb="1" eb="3">
      <t>シホン</t>
    </rPh>
    <rPh sb="9" eb="11">
      <t>ウワマワ</t>
    </rPh>
    <rPh sb="15" eb="17">
      <t>トウシ</t>
    </rPh>
    <rPh sb="17" eb="18">
      <t>アン</t>
    </rPh>
    <rPh sb="19" eb="21">
      <t>サイヨウ</t>
    </rPh>
    <phoneticPr fontId="3"/>
  </si>
  <si>
    <t>CF計</t>
    <rPh sb="2" eb="3">
      <t>ケイ</t>
    </rPh>
    <phoneticPr fontId="3"/>
  </si>
  <si>
    <t>②～⑤</t>
    <phoneticPr fontId="3"/>
  </si>
  <si>
    <t>正味運転資本の増減</t>
    <rPh sb="0" eb="2">
      <t>ショウミ</t>
    </rPh>
    <rPh sb="2" eb="4">
      <t>ウンテン</t>
    </rPh>
    <rPh sb="4" eb="6">
      <t>シホン</t>
    </rPh>
    <rPh sb="7" eb="9">
      <t>ゾウゲン</t>
    </rPh>
    <phoneticPr fontId="3"/>
  </si>
  <si>
    <t>⑪</t>
    <phoneticPr fontId="3"/>
  </si>
  <si>
    <t>X3終了時の簿価</t>
    <rPh sb="2" eb="5">
      <t>シュウリョウジ</t>
    </rPh>
    <rPh sb="6" eb="8">
      <t>ボカ</t>
    </rPh>
    <phoneticPr fontId="3"/>
  </si>
  <si>
    <t>⑩</t>
    <phoneticPr fontId="3"/>
  </si>
  <si>
    <t>⑧⑨</t>
    <phoneticPr fontId="3"/>
  </si>
  <si>
    <t>-</t>
    <phoneticPr fontId="3"/>
  </si>
  <si>
    <t>売却収入＋損益TS</t>
    <rPh sb="0" eb="2">
      <t>バイキャク</t>
    </rPh>
    <rPh sb="2" eb="4">
      <t>シュウニュウ</t>
    </rPh>
    <rPh sb="5" eb="7">
      <t>ソンエキ</t>
    </rPh>
    <phoneticPr fontId="3"/>
  </si>
  <si>
    <t>⑦</t>
    <phoneticPr fontId="3"/>
  </si>
  <si>
    <t>減価償却費TS分</t>
    <rPh sb="0" eb="2">
      <t>ゲンカ</t>
    </rPh>
    <rPh sb="2" eb="4">
      <t>ショウキャク</t>
    </rPh>
    <rPh sb="4" eb="5">
      <t>ヒ</t>
    </rPh>
    <rPh sb="7" eb="8">
      <t>ブン</t>
    </rPh>
    <phoneticPr fontId="3"/>
  </si>
  <si>
    <t>-</t>
    <phoneticPr fontId="3"/>
  </si>
  <si>
    <t>⑥</t>
    <phoneticPr fontId="3"/>
  </si>
  <si>
    <t>税引後損益</t>
    <rPh sb="0" eb="2">
      <t>ゼイビキ</t>
    </rPh>
    <rPh sb="2" eb="3">
      <t>ゴ</t>
    </rPh>
    <rPh sb="3" eb="5">
      <t>ソンエキ</t>
    </rPh>
    <phoneticPr fontId="3"/>
  </si>
  <si>
    <t>取得価額</t>
    <rPh sb="0" eb="2">
      <t>シュトク</t>
    </rPh>
    <rPh sb="2" eb="4">
      <t>カガク</t>
    </rPh>
    <phoneticPr fontId="3"/>
  </si>
  <si>
    <t>①</t>
    <phoneticPr fontId="3"/>
  </si>
  <si>
    <t>設備投資支出</t>
    <rPh sb="0" eb="2">
      <t>セツビ</t>
    </rPh>
    <rPh sb="2" eb="4">
      <t>トウシ</t>
    </rPh>
    <rPh sb="4" eb="6">
      <t>シシュツ</t>
    </rPh>
    <phoneticPr fontId="3"/>
  </si>
  <si>
    <t>Y2</t>
    <phoneticPr fontId="3"/>
  </si>
  <si>
    <t>Y1</t>
    <phoneticPr fontId="3"/>
  </si>
  <si>
    <t>Y0</t>
    <phoneticPr fontId="3"/>
  </si>
  <si>
    <t>③項目ごとに影響額をタイムテーブルに並べて、描きだす。</t>
    <rPh sb="1" eb="3">
      <t>コウモク</t>
    </rPh>
    <rPh sb="6" eb="9">
      <t>エイキョウガク</t>
    </rPh>
    <rPh sb="18" eb="19">
      <t>ナラ</t>
    </rPh>
    <rPh sb="22" eb="23">
      <t>カ</t>
    </rPh>
    <phoneticPr fontId="3"/>
  </si>
  <si>
    <t>②増分CFに影響する項目にチェックをつける。</t>
    <rPh sb="1" eb="3">
      <t>ゾウブン</t>
    </rPh>
    <rPh sb="6" eb="8">
      <t>エイキョウ</t>
    </rPh>
    <rPh sb="10" eb="12">
      <t>コウモク</t>
    </rPh>
    <phoneticPr fontId="3"/>
  </si>
  <si>
    <t>①タイムテーブルを描く。</t>
    <rPh sb="9" eb="10">
      <t>カ</t>
    </rPh>
    <phoneticPr fontId="3"/>
  </si>
  <si>
    <t>Step1→2→3のうち、Step1｢キャッシュ・フローの把握｣が最初で最大の点差になる。</t>
    <rPh sb="29" eb="31">
      <t>ハアク</t>
    </rPh>
    <rPh sb="33" eb="35">
      <t>サイショ</t>
    </rPh>
    <rPh sb="36" eb="38">
      <t>サイダイ</t>
    </rPh>
    <rPh sb="39" eb="41">
      <t>テンサ</t>
    </rPh>
    <phoneticPr fontId="3"/>
  </si>
  <si>
    <t>★NPV意思決定会計の問題を、CF計算書と混ぜてあわあわしない解答手順</t>
    <rPh sb="4" eb="6">
      <t>イシ</t>
    </rPh>
    <rPh sb="6" eb="8">
      <t>ケッテイ</t>
    </rPh>
    <rPh sb="8" eb="10">
      <t>カイケイ</t>
    </rPh>
    <rPh sb="11" eb="13">
      <t>モンダイ</t>
    </rPh>
    <rPh sb="17" eb="20">
      <t>ケイサンショ</t>
    </rPh>
    <rPh sb="21" eb="22">
      <t>マ</t>
    </rPh>
    <rPh sb="31" eb="33">
      <t>カイトウ</t>
    </rPh>
    <rPh sb="33" eb="35">
      <t>テジュン</t>
    </rPh>
    <phoneticPr fontId="3"/>
  </si>
  <si>
    <r>
      <t>・この例題は、｢運転資本の増減｣が問われ、</t>
    </r>
    <r>
      <rPr>
        <b/>
        <sz val="10"/>
        <color rgb="FFFF0000"/>
        <rFont val="游ゴシック"/>
        <family val="3"/>
        <charset val="128"/>
        <scheme val="minor"/>
      </rPr>
      <t>診断士受験者が｢うは、CF計算書がやはり出たでちゅ！｣とあわあわしやすい典型パターン</t>
    </r>
    <r>
      <rPr>
        <b/>
        <sz val="10"/>
        <color rgb="FF3F3F3F"/>
        <rFont val="游ゴシック"/>
        <family val="2"/>
        <charset val="128"/>
        <scheme val="minor"/>
      </rPr>
      <t>。そちらと混ぜず、計算要素をタイムテーブルに正しく描く能力が問われる。</t>
    </r>
    <rPh sb="3" eb="5">
      <t>レイダイ</t>
    </rPh>
    <rPh sb="8" eb="10">
      <t>ウンテン</t>
    </rPh>
    <rPh sb="10" eb="12">
      <t>シホン</t>
    </rPh>
    <rPh sb="13" eb="15">
      <t>ゾウゲン</t>
    </rPh>
    <rPh sb="17" eb="18">
      <t>ト</t>
    </rPh>
    <rPh sb="21" eb="24">
      <t>シンダンシ</t>
    </rPh>
    <rPh sb="24" eb="27">
      <t>ジュケンシャ</t>
    </rPh>
    <rPh sb="34" eb="37">
      <t>ケイサンショ</t>
    </rPh>
    <rPh sb="41" eb="42">
      <t>デ</t>
    </rPh>
    <rPh sb="57" eb="59">
      <t>テンケイ</t>
    </rPh>
    <rPh sb="68" eb="69">
      <t>マ</t>
    </rPh>
    <rPh sb="72" eb="74">
      <t>ケイサン</t>
    </rPh>
    <rPh sb="74" eb="76">
      <t>ヨウソ</t>
    </rPh>
    <rPh sb="85" eb="86">
      <t>タダ</t>
    </rPh>
    <rPh sb="88" eb="89">
      <t>カ</t>
    </rPh>
    <rPh sb="90" eb="92">
      <t>ノウリョク</t>
    </rPh>
    <rPh sb="93" eb="94">
      <t>ト</t>
    </rPh>
    <phoneticPr fontId="3"/>
  </si>
  <si>
    <t>・｢事例Ⅳ｣では、CF計算書、意思決定会計のいずれを聞いているか、一見わかりにくい問題が多い。意思決定会計＝NPVの場合は、計算パターンが決まっているので、両者の違いを見極めることがスピード解答の第一歩。</t>
    <rPh sb="2" eb="4">
      <t>ジレイ</t>
    </rPh>
    <rPh sb="11" eb="14">
      <t>ケイサンショ</t>
    </rPh>
    <rPh sb="15" eb="17">
      <t>イシ</t>
    </rPh>
    <rPh sb="17" eb="19">
      <t>ケッテイ</t>
    </rPh>
    <rPh sb="19" eb="21">
      <t>カイケイ</t>
    </rPh>
    <rPh sb="26" eb="27">
      <t>キ</t>
    </rPh>
    <rPh sb="33" eb="35">
      <t>イッケン</t>
    </rPh>
    <rPh sb="41" eb="43">
      <t>モンダイ</t>
    </rPh>
    <rPh sb="44" eb="45">
      <t>オオ</t>
    </rPh>
    <rPh sb="47" eb="49">
      <t>イシ</t>
    </rPh>
    <rPh sb="49" eb="51">
      <t>ケッテイ</t>
    </rPh>
    <rPh sb="51" eb="53">
      <t>カイケイ</t>
    </rPh>
    <rPh sb="58" eb="60">
      <t>バアイ</t>
    </rPh>
    <rPh sb="62" eb="64">
      <t>ケイサン</t>
    </rPh>
    <rPh sb="69" eb="70">
      <t>キ</t>
    </rPh>
    <rPh sb="78" eb="80">
      <t>リョウシャ</t>
    </rPh>
    <rPh sb="81" eb="82">
      <t>チガ</t>
    </rPh>
    <rPh sb="84" eb="86">
      <t>ミキワ</t>
    </rPh>
    <rPh sb="95" eb="97">
      <t>カイトウ</t>
    </rPh>
    <rPh sb="98" eb="99">
      <t>ダイ</t>
    </rPh>
    <rPh sb="99" eb="101">
      <t>イッポ</t>
    </rPh>
    <phoneticPr fontId="3"/>
  </si>
  <si>
    <t>CASE16 新規大規模投資の意思決定 P.87 ★重要</t>
    <rPh sb="26" eb="28">
      <t>ジュウヨウ</t>
    </rPh>
    <phoneticPr fontId="3"/>
  </si>
  <si>
    <t>NPV</t>
    <phoneticPr fontId="3"/>
  </si>
  <si>
    <t>増分CF</t>
    <rPh sb="0" eb="2">
      <t>ゾウブン</t>
    </rPh>
    <phoneticPr fontId="3"/>
  </si>
  <si>
    <t>設備投資額</t>
    <rPh sb="0" eb="2">
      <t>セツビ</t>
    </rPh>
    <rPh sb="2" eb="4">
      <t>トウシ</t>
    </rPh>
    <rPh sb="4" eb="5">
      <t>ガク</t>
    </rPh>
    <phoneticPr fontId="3"/>
  </si>
  <si>
    <t>売上高の増加</t>
    <rPh sb="0" eb="2">
      <t>ウリアゲ</t>
    </rPh>
    <rPh sb="2" eb="3">
      <t>ダカ</t>
    </rPh>
    <rPh sb="4" eb="6">
      <t>ゾウカ</t>
    </rPh>
    <phoneticPr fontId="3"/>
  </si>
  <si>
    <t>現金支出の増加</t>
    <rPh sb="0" eb="2">
      <t>ゲンキン</t>
    </rPh>
    <rPh sb="2" eb="4">
      <t>シシュツ</t>
    </rPh>
    <rPh sb="5" eb="7">
      <t>ゾウカ</t>
    </rPh>
    <phoneticPr fontId="3"/>
  </si>
  <si>
    <t>【問2】法人税を考慮するCF</t>
    <rPh sb="1" eb="2">
      <t>トイ</t>
    </rPh>
    <rPh sb="4" eb="7">
      <t>ホウジンゼイ</t>
    </rPh>
    <rPh sb="8" eb="10">
      <t>コウリョ</t>
    </rPh>
    <phoneticPr fontId="3"/>
  </si>
  <si>
    <t>CIF</t>
    <phoneticPr fontId="3"/>
  </si>
  <si>
    <t>COF</t>
    <phoneticPr fontId="3"/>
  </si>
  <si>
    <t>増分CFの計算</t>
    <rPh sb="0" eb="2">
      <t>ゾウブン</t>
    </rPh>
    <rPh sb="5" eb="7">
      <t>ケイサン</t>
    </rPh>
    <phoneticPr fontId="3"/>
  </si>
  <si>
    <t>NPV (参考)</t>
    <rPh sb="5" eb="7">
      <t>サンコウ</t>
    </rPh>
    <phoneticPr fontId="3"/>
  </si>
  <si>
    <t>?</t>
    <phoneticPr fontId="3"/>
  </si>
  <si>
    <t>←差額で考える</t>
    <rPh sb="1" eb="3">
      <t>サガク</t>
    </rPh>
    <rPh sb="4" eb="5">
      <t>カンガ</t>
    </rPh>
    <phoneticPr fontId="3"/>
  </si>
  <si>
    <t>採用後</t>
    <rPh sb="0" eb="3">
      <t>サイヨウゴ</t>
    </rPh>
    <phoneticPr fontId="3"/>
  </si>
  <si>
    <t>採用前</t>
    <rPh sb="0" eb="2">
      <t>サイヨウ</t>
    </rPh>
    <rPh sb="2" eb="3">
      <t>マエ</t>
    </rPh>
    <phoneticPr fontId="3"/>
  </si>
  <si>
    <t>資料 CFの変化</t>
    <rPh sb="0" eb="2">
      <t>シリョウ</t>
    </rPh>
    <rPh sb="6" eb="8">
      <t>ヘンカ</t>
    </rPh>
    <phoneticPr fontId="3"/>
  </si>
  <si>
    <t>【問1】法人税を考慮しないCF</t>
    <rPh sb="1" eb="2">
      <t>トイ</t>
    </rPh>
    <rPh sb="4" eb="7">
      <t>ホウジンゼイ</t>
    </rPh>
    <rPh sb="8" eb="10">
      <t>コウリョ</t>
    </rPh>
    <phoneticPr fontId="3"/>
  </si>
  <si>
    <t>Y2</t>
    <phoneticPr fontId="3"/>
  </si>
  <si>
    <t>Y1</t>
    <phoneticPr fontId="3"/>
  </si>
  <si>
    <t>Y0</t>
    <phoneticPr fontId="3"/>
  </si>
  <si>
    <t>・最初は法人税なし→法人税ありのパターンで覚えると良いが、慣れてくると、｢法人税あり｣を先に計算する方が、手戻りが少ないと気づく。</t>
    <rPh sb="1" eb="3">
      <t>サイショ</t>
    </rPh>
    <rPh sb="4" eb="6">
      <t>ホウジン</t>
    </rPh>
    <rPh sb="6" eb="7">
      <t>ゼイ</t>
    </rPh>
    <rPh sb="10" eb="13">
      <t>ホウジンゼイ</t>
    </rPh>
    <rPh sb="21" eb="22">
      <t>オボ</t>
    </rPh>
    <rPh sb="25" eb="26">
      <t>ヨ</t>
    </rPh>
    <rPh sb="29" eb="30">
      <t>ナ</t>
    </rPh>
    <rPh sb="37" eb="40">
      <t>ホウジンゼイ</t>
    </rPh>
    <rPh sb="44" eb="45">
      <t>サキ</t>
    </rPh>
    <rPh sb="46" eb="48">
      <t>ケイサン</t>
    </rPh>
    <rPh sb="50" eb="51">
      <t>ホウ</t>
    </rPh>
    <rPh sb="53" eb="54">
      <t>テ</t>
    </rPh>
    <rPh sb="54" eb="55">
      <t>モド</t>
    </rPh>
    <rPh sb="57" eb="58">
      <t>スク</t>
    </rPh>
    <rPh sb="61" eb="62">
      <t>キ</t>
    </rPh>
    <phoneticPr fontId="3"/>
  </si>
  <si>
    <t>・増分CFを使うことに注意したうえで、法人税を考慮する・しないの違いを確実に押さえるための例題。</t>
    <rPh sb="1" eb="3">
      <t>ゾウブン</t>
    </rPh>
    <rPh sb="6" eb="7">
      <t>ツカ</t>
    </rPh>
    <rPh sb="11" eb="13">
      <t>チュウイ</t>
    </rPh>
    <rPh sb="19" eb="21">
      <t>ホウジン</t>
    </rPh>
    <rPh sb="21" eb="22">
      <t>ゼイ</t>
    </rPh>
    <rPh sb="23" eb="25">
      <t>コウリョ</t>
    </rPh>
    <rPh sb="32" eb="33">
      <t>チガ</t>
    </rPh>
    <rPh sb="35" eb="37">
      <t>カクジツ</t>
    </rPh>
    <rPh sb="38" eb="39">
      <t>オ</t>
    </rPh>
    <rPh sb="45" eb="47">
      <t>レイダイ</t>
    </rPh>
    <phoneticPr fontId="3"/>
  </si>
  <si>
    <t>CASE15 タックス・シールドを考慮したCF計算 P.81 ★重要</t>
    <rPh sb="32" eb="34">
      <t>ジュウヨウ</t>
    </rPh>
    <phoneticPr fontId="3"/>
  </si>
  <si>
    <t xml:space="preserve">   テキストを熟読し、なぜそうなるかを周囲に説明できる状態が、合格実力の一つの目安。</t>
    <rPh sb="8" eb="10">
      <t>ジュクドク</t>
    </rPh>
    <rPh sb="20" eb="22">
      <t>シュウイ</t>
    </rPh>
    <rPh sb="23" eb="25">
      <t>セツメイ</t>
    </rPh>
    <rPh sb="28" eb="30">
      <t>ジョウタイ</t>
    </rPh>
    <rPh sb="32" eb="34">
      <t>ゴウカク</t>
    </rPh>
    <rPh sb="34" eb="36">
      <t>ジツリョク</t>
    </rPh>
    <rPh sb="37" eb="38">
      <t>ヒト</t>
    </rPh>
    <rPh sb="40" eb="42">
      <t>メヤス</t>
    </rPh>
    <phoneticPr fontId="3"/>
  </si>
  <si>
    <t>←【問1】【問2】を比べると、費用(減価償却費)が増えた【問2】の方が、手元に残る現金が増える。</t>
    <rPh sb="2" eb="3">
      <t>トイ</t>
    </rPh>
    <rPh sb="6" eb="7">
      <t>トイ</t>
    </rPh>
    <rPh sb="10" eb="11">
      <t>クラ</t>
    </rPh>
    <rPh sb="15" eb="17">
      <t>ヒヨウ</t>
    </rPh>
    <rPh sb="18" eb="20">
      <t>ゲンカ</t>
    </rPh>
    <rPh sb="20" eb="22">
      <t>ショウキャク</t>
    </rPh>
    <rPh sb="22" eb="23">
      <t>ヒ</t>
    </rPh>
    <rPh sb="25" eb="26">
      <t>フ</t>
    </rPh>
    <rPh sb="29" eb="30">
      <t>トイ</t>
    </rPh>
    <rPh sb="33" eb="34">
      <t>ホウ</t>
    </rPh>
    <rPh sb="36" eb="38">
      <t>テモト</t>
    </rPh>
    <rPh sb="39" eb="40">
      <t>ノコ</t>
    </rPh>
    <rPh sb="41" eb="43">
      <t>ゲンキン</t>
    </rPh>
    <rPh sb="44" eb="45">
      <t>フ</t>
    </rPh>
    <phoneticPr fontId="3"/>
  </si>
  <si>
    <t>COF</t>
    <phoneticPr fontId="3"/>
  </si>
  <si>
    <t>CIF</t>
    <phoneticPr fontId="3"/>
  </si>
  <si>
    <t>・一方、エクセルで税引後CIF BOXを描くクセがつくと、精度・速度がダブルで向上。これは自分で試し、実感することがベスト。</t>
    <rPh sb="1" eb="3">
      <t>イッポウ</t>
    </rPh>
    <rPh sb="9" eb="11">
      <t>ゼイビキ</t>
    </rPh>
    <rPh sb="11" eb="12">
      <t>ゴ</t>
    </rPh>
    <rPh sb="20" eb="21">
      <t>カ</t>
    </rPh>
    <rPh sb="29" eb="31">
      <t>セイド</t>
    </rPh>
    <rPh sb="32" eb="34">
      <t>ソクド</t>
    </rPh>
    <rPh sb="39" eb="41">
      <t>コウジョウ</t>
    </rPh>
    <rPh sb="45" eb="47">
      <t>ジブン</t>
    </rPh>
    <rPh sb="48" eb="49">
      <t>タメ</t>
    </rPh>
    <rPh sb="51" eb="53">
      <t>ジッカン</t>
    </rPh>
    <phoneticPr fontId="3"/>
  </si>
  <si>
    <t>・増分キャッシュフローとは？のテキストの説明を、まず自分なりに理解することがスタート。次いで問題を解き重ね、誤りを修正していくのが、従来の勉強法。</t>
    <rPh sb="1" eb="3">
      <t>ゾウブン</t>
    </rPh>
    <rPh sb="20" eb="22">
      <t>セツメイ</t>
    </rPh>
    <rPh sb="26" eb="28">
      <t>ジブン</t>
    </rPh>
    <rPh sb="31" eb="33">
      <t>リカイ</t>
    </rPh>
    <rPh sb="43" eb="44">
      <t>ツ</t>
    </rPh>
    <rPh sb="46" eb="48">
      <t>モンダイ</t>
    </rPh>
    <rPh sb="49" eb="50">
      <t>ト</t>
    </rPh>
    <rPh sb="51" eb="52">
      <t>カサ</t>
    </rPh>
    <rPh sb="54" eb="55">
      <t>アヤマ</t>
    </rPh>
    <rPh sb="57" eb="59">
      <t>シュウセイ</t>
    </rPh>
    <rPh sb="66" eb="68">
      <t>ジュウライ</t>
    </rPh>
    <rPh sb="69" eb="71">
      <t>ベンキョウ</t>
    </rPh>
    <rPh sb="71" eb="72">
      <t>ホウ</t>
    </rPh>
    <phoneticPr fontId="3"/>
  </si>
  <si>
    <t>CASE14 タックス・シールドとは？ P.76  ★重要</t>
    <rPh sb="27" eb="29">
      <t>ジュウヨウ</t>
    </rPh>
    <phoneticPr fontId="3"/>
  </si>
  <si>
    <t>利益率の最も大きいC案が有利</t>
    <rPh sb="0" eb="2">
      <t>リエキ</t>
    </rPh>
    <rPh sb="2" eb="3">
      <t>リツ</t>
    </rPh>
    <rPh sb="4" eb="5">
      <t>モット</t>
    </rPh>
    <rPh sb="6" eb="7">
      <t>オオ</t>
    </rPh>
    <rPh sb="10" eb="11">
      <t>アン</t>
    </rPh>
    <rPh sb="12" eb="14">
      <t>ユウリ</t>
    </rPh>
    <phoneticPr fontId="3"/>
  </si>
  <si>
    <t>回収期間が最も短いC案が有利</t>
    <rPh sb="0" eb="2">
      <t>カイシュウ</t>
    </rPh>
    <rPh sb="2" eb="4">
      <t>キカン</t>
    </rPh>
    <rPh sb="5" eb="6">
      <t>モット</t>
    </rPh>
    <rPh sb="7" eb="8">
      <t>ミジカ</t>
    </rPh>
    <rPh sb="10" eb="11">
      <t>アン</t>
    </rPh>
    <rPh sb="12" eb="14">
      <t>ユウリ</t>
    </rPh>
    <phoneticPr fontId="3"/>
  </si>
  <si>
    <t>年々のCIF</t>
    <rPh sb="0" eb="2">
      <t>ネンネン</t>
    </rPh>
    <phoneticPr fontId="3"/>
  </si>
  <si>
    <t>A案</t>
    <rPh sb="1" eb="2">
      <t>アン</t>
    </rPh>
    <phoneticPr fontId="3"/>
  </si>
  <si>
    <t>回収期間</t>
    <rPh sb="0" eb="2">
      <t>カイシュウ</t>
    </rPh>
    <rPh sb="2" eb="4">
      <t>キカン</t>
    </rPh>
    <phoneticPr fontId="3"/>
  </si>
  <si>
    <t>Y2</t>
    <phoneticPr fontId="3"/>
  </si>
  <si>
    <t>Y1</t>
    <phoneticPr fontId="3"/>
  </si>
  <si>
    <t>Y0</t>
    <phoneticPr fontId="3"/>
  </si>
  <si>
    <t>｢事例Ⅳ｣は、1次｢財務｣出題済の範囲内の知識を使う。自分の手持ちのテキストに記載がある場合を除き、以下の式は使わない方が良い。</t>
    <rPh sb="1" eb="3">
      <t>ジレイ</t>
    </rPh>
    <rPh sb="8" eb="9">
      <t>ジ</t>
    </rPh>
    <rPh sb="10" eb="12">
      <t>ザイム</t>
    </rPh>
    <rPh sb="13" eb="15">
      <t>シュツダイ</t>
    </rPh>
    <rPh sb="15" eb="16">
      <t>スミ</t>
    </rPh>
    <rPh sb="17" eb="20">
      <t>ハンイナイ</t>
    </rPh>
    <rPh sb="21" eb="23">
      <t>チシキ</t>
    </rPh>
    <rPh sb="24" eb="25">
      <t>ツカ</t>
    </rPh>
    <rPh sb="27" eb="29">
      <t>ジブン</t>
    </rPh>
    <rPh sb="30" eb="32">
      <t>テモ</t>
    </rPh>
    <rPh sb="39" eb="41">
      <t>キサイ</t>
    </rPh>
    <rPh sb="44" eb="46">
      <t>バアイ</t>
    </rPh>
    <rPh sb="47" eb="48">
      <t>ノゾ</t>
    </rPh>
    <rPh sb="50" eb="52">
      <t>イカ</t>
    </rPh>
    <rPh sb="53" eb="54">
      <t>シキ</t>
    </rPh>
    <rPh sb="55" eb="56">
      <t>ツカ</t>
    </rPh>
    <rPh sb="59" eb="60">
      <t>ホウ</t>
    </rPh>
    <rPh sb="61" eb="62">
      <t>ヨ</t>
    </rPh>
    <phoneticPr fontId="3"/>
  </si>
  <si>
    <t>・単純回収期間法、単純投下資本利益率法ともに、計算式がある。ただ診断士｢財務｣で出題された覚えがなく、自分の手持ちのテキストに記載がある場合を除き、この計算式は覚えないで良い。</t>
    <rPh sb="1" eb="3">
      <t>タンジュン</t>
    </rPh>
    <rPh sb="3" eb="5">
      <t>カイシュウ</t>
    </rPh>
    <rPh sb="5" eb="7">
      <t>キカン</t>
    </rPh>
    <rPh sb="7" eb="8">
      <t>ホウ</t>
    </rPh>
    <rPh sb="9" eb="11">
      <t>タンジュン</t>
    </rPh>
    <rPh sb="11" eb="13">
      <t>トウカ</t>
    </rPh>
    <rPh sb="13" eb="15">
      <t>シホン</t>
    </rPh>
    <rPh sb="15" eb="17">
      <t>リエキ</t>
    </rPh>
    <rPh sb="17" eb="18">
      <t>リツ</t>
    </rPh>
    <rPh sb="18" eb="19">
      <t>ホウ</t>
    </rPh>
    <rPh sb="23" eb="25">
      <t>ケイサン</t>
    </rPh>
    <rPh sb="25" eb="26">
      <t>シキ</t>
    </rPh>
    <rPh sb="32" eb="35">
      <t>シンダンシ</t>
    </rPh>
    <rPh sb="36" eb="38">
      <t>ザイム</t>
    </rPh>
    <rPh sb="40" eb="42">
      <t>シュツダイ</t>
    </rPh>
    <rPh sb="45" eb="46">
      <t>オボ</t>
    </rPh>
    <rPh sb="51" eb="53">
      <t>ジブン</t>
    </rPh>
    <rPh sb="54" eb="56">
      <t>テモ</t>
    </rPh>
    <rPh sb="63" eb="65">
      <t>キサイ</t>
    </rPh>
    <rPh sb="68" eb="70">
      <t>バアイ</t>
    </rPh>
    <rPh sb="71" eb="72">
      <t>ノゾ</t>
    </rPh>
    <rPh sb="76" eb="78">
      <t>ケイサン</t>
    </rPh>
    <rPh sb="78" eb="79">
      <t>シキ</t>
    </rPh>
    <rPh sb="80" eb="81">
      <t>オボ</t>
    </rPh>
    <rPh sb="85" eb="86">
      <t>ヨ</t>
    </rPh>
    <phoneticPr fontId="3"/>
  </si>
  <si>
    <t>CASE13 設備投資意思決定 ～時間価値を考慮しない P.72</t>
    <phoneticPr fontId="3"/>
  </si>
  <si>
    <t>※簿記1級はIRRの計算問題を問うが、診断士試験では出題範囲外のため、関数を使ってショートカットして良い。</t>
    <rPh sb="1" eb="3">
      <t>ボキ</t>
    </rPh>
    <rPh sb="4" eb="5">
      <t>キュウ</t>
    </rPh>
    <rPh sb="10" eb="12">
      <t>ケイサン</t>
    </rPh>
    <rPh sb="12" eb="14">
      <t>モンダイ</t>
    </rPh>
    <rPh sb="15" eb="16">
      <t>ト</t>
    </rPh>
    <rPh sb="19" eb="22">
      <t>シンダンシ</t>
    </rPh>
    <rPh sb="22" eb="24">
      <t>シケン</t>
    </rPh>
    <rPh sb="26" eb="28">
      <t>シュツダイ</t>
    </rPh>
    <rPh sb="28" eb="30">
      <t>ハンイ</t>
    </rPh>
    <rPh sb="30" eb="31">
      <t>ガイ</t>
    </rPh>
    <rPh sb="35" eb="37">
      <t>カンスウ</t>
    </rPh>
    <rPh sb="38" eb="39">
      <t>ツカ</t>
    </rPh>
    <rPh sb="50" eb="51">
      <t>ヨ</t>
    </rPh>
    <phoneticPr fontId="3"/>
  </si>
  <si>
    <t>IRRは</t>
    <phoneticPr fontId="3"/>
  </si>
  <si>
    <t>年ごとのCF</t>
    <rPh sb="0" eb="1">
      <t>トシ</t>
    </rPh>
    <phoneticPr fontId="3"/>
  </si>
  <si>
    <t>(3)IRR</t>
    <phoneticPr fontId="3"/>
  </si>
  <si>
    <t>となり1.00を超えるため、投資する。</t>
    <rPh sb="8" eb="9">
      <t>コ</t>
    </rPh>
    <rPh sb="14" eb="16">
      <t>トウシ</t>
    </rPh>
    <phoneticPr fontId="3"/>
  </si>
  <si>
    <t>PIが</t>
    <phoneticPr fontId="3"/>
  </si>
  <si>
    <t>(2)PI</t>
    <phoneticPr fontId="3"/>
  </si>
  <si>
    <t>がプラスとなり、投資する。</t>
    <rPh sb="8" eb="10">
      <t>トウシ</t>
    </rPh>
    <phoneticPr fontId="3"/>
  </si>
  <si>
    <t>(1)NPV</t>
    <phoneticPr fontId="3"/>
  </si>
  <si>
    <t>売却処分</t>
    <rPh sb="0" eb="2">
      <t>バイキャク</t>
    </rPh>
    <rPh sb="2" eb="4">
      <t>ショブン</t>
    </rPh>
    <phoneticPr fontId="3"/>
  </si>
  <si>
    <t>CIF</t>
    <phoneticPr fontId="3"/>
  </si>
  <si>
    <t>Y1</t>
    <phoneticPr fontId="3"/>
  </si>
  <si>
    <t>・ついでに、タイムテーブルの描き方も覚える。エクセルを使うと、常に同じ形で描くことになり、手書きより短時間で自分のパターンが安定する。</t>
    <rPh sb="14" eb="15">
      <t>カ</t>
    </rPh>
    <rPh sb="16" eb="17">
      <t>カタ</t>
    </rPh>
    <rPh sb="18" eb="19">
      <t>オボ</t>
    </rPh>
    <rPh sb="27" eb="28">
      <t>ツカ</t>
    </rPh>
    <rPh sb="31" eb="32">
      <t>ツネ</t>
    </rPh>
    <rPh sb="33" eb="34">
      <t>オナ</t>
    </rPh>
    <rPh sb="35" eb="36">
      <t>カタチ</t>
    </rPh>
    <rPh sb="37" eb="38">
      <t>カ</t>
    </rPh>
    <rPh sb="45" eb="47">
      <t>テガ</t>
    </rPh>
    <rPh sb="50" eb="53">
      <t>タンジカン</t>
    </rPh>
    <rPh sb="54" eb="56">
      <t>ジブン</t>
    </rPh>
    <rPh sb="62" eb="64">
      <t>アンテイ</t>
    </rPh>
    <phoneticPr fontId="3"/>
  </si>
  <si>
    <t>・設備投資の評価指標として最も使われる、NPV、PI、IRRの計算パターンを覚える。</t>
    <rPh sb="1" eb="3">
      <t>セツビ</t>
    </rPh>
    <rPh sb="3" eb="5">
      <t>トウシ</t>
    </rPh>
    <rPh sb="6" eb="8">
      <t>ヒョウカ</t>
    </rPh>
    <rPh sb="8" eb="10">
      <t>シヒョウ</t>
    </rPh>
    <rPh sb="13" eb="14">
      <t>モット</t>
    </rPh>
    <rPh sb="15" eb="16">
      <t>ツカ</t>
    </rPh>
    <rPh sb="31" eb="33">
      <t>ケイサン</t>
    </rPh>
    <rPh sb="38" eb="39">
      <t>オボ</t>
    </rPh>
    <phoneticPr fontId="3"/>
  </si>
  <si>
    <t>CASE12 設備投資意思決定の評価モデル P.62</t>
    <phoneticPr fontId="3"/>
  </si>
  <si>
    <t>↑(1)1,000万円を3年間受け取り続ける場合の現在価値PV</t>
    <rPh sb="9" eb="11">
      <t>マンエン</t>
    </rPh>
    <rPh sb="13" eb="15">
      <t>ネンカン</t>
    </rPh>
    <rPh sb="15" eb="16">
      <t>ウ</t>
    </rPh>
    <rPh sb="17" eb="18">
      <t>ト</t>
    </rPh>
    <rPh sb="19" eb="20">
      <t>ツヅ</t>
    </rPh>
    <rPh sb="22" eb="24">
      <t>バアイ</t>
    </rPh>
    <rPh sb="25" eb="27">
      <t>ゲンザイ</t>
    </rPh>
    <rPh sb="27" eb="29">
      <t>カチ</t>
    </rPh>
    <phoneticPr fontId="3"/>
  </si>
  <si>
    <t>←(1)3年間の年金現価係数</t>
    <rPh sb="5" eb="7">
      <t>ネンカン</t>
    </rPh>
    <rPh sb="8" eb="10">
      <t>ネンキン</t>
    </rPh>
    <rPh sb="10" eb="12">
      <t>ゲンカ</t>
    </rPh>
    <rPh sb="12" eb="14">
      <t>ケイスウ</t>
    </rPh>
    <phoneticPr fontId="3"/>
  </si>
  <si>
    <t>←現在価値PV</t>
    <rPh sb="1" eb="3">
      <t>ゲンザイ</t>
    </rPh>
    <rPh sb="3" eb="5">
      <t>カチ</t>
    </rPh>
    <phoneticPr fontId="3"/>
  </si>
  <si>
    <t>←終価</t>
    <rPh sb="1" eb="2">
      <t>オ</t>
    </rPh>
    <phoneticPr fontId="3"/>
  </si>
  <si>
    <t>Y3</t>
    <phoneticPr fontId="3"/>
  </si>
  <si>
    <t>Y2</t>
    <phoneticPr fontId="3"/>
  </si>
  <si>
    <t>Y1</t>
    <phoneticPr fontId="3"/>
  </si>
  <si>
    <t>・ただ、タイムテーブルを描いて考えるクセを付けると、後でNPVの計算問題を解くときに使いやすい(テキストP.61参照)。</t>
    <rPh sb="12" eb="13">
      <t>カ</t>
    </rPh>
    <rPh sb="15" eb="16">
      <t>カンガ</t>
    </rPh>
    <rPh sb="21" eb="22">
      <t>ツ</t>
    </rPh>
    <rPh sb="26" eb="27">
      <t>アト</t>
    </rPh>
    <rPh sb="32" eb="34">
      <t>ケイサン</t>
    </rPh>
    <rPh sb="34" eb="36">
      <t>モンダイ</t>
    </rPh>
    <rPh sb="37" eb="38">
      <t>ト</t>
    </rPh>
    <rPh sb="42" eb="43">
      <t>ツカ</t>
    </rPh>
    <rPh sb="56" eb="58">
      <t>サンショウ</t>
    </rPh>
    <phoneticPr fontId="3"/>
  </si>
  <si>
    <t>・複利現価係数や年金現価係数の考え方、覚え方は自分の得意なやり方でOK。</t>
    <rPh sb="1" eb="3">
      <t>フクリ</t>
    </rPh>
    <rPh sb="3" eb="5">
      <t>ゲンカ</t>
    </rPh>
    <rPh sb="5" eb="7">
      <t>ケイスウ</t>
    </rPh>
    <rPh sb="8" eb="10">
      <t>ネンキン</t>
    </rPh>
    <rPh sb="10" eb="12">
      <t>ゲンカ</t>
    </rPh>
    <rPh sb="12" eb="14">
      <t>ケイスウ</t>
    </rPh>
    <rPh sb="15" eb="16">
      <t>カンガ</t>
    </rPh>
    <rPh sb="17" eb="18">
      <t>カタ</t>
    </rPh>
    <rPh sb="19" eb="20">
      <t>オボ</t>
    </rPh>
    <rPh sb="21" eb="22">
      <t>カタ</t>
    </rPh>
    <rPh sb="23" eb="25">
      <t>ジブン</t>
    </rPh>
    <rPh sb="26" eb="28">
      <t>トクイ</t>
    </rPh>
    <rPh sb="31" eb="32">
      <t>カタ</t>
    </rPh>
    <phoneticPr fontId="3"/>
  </si>
  <si>
    <t>・現価係数(複利、年金)の使い方考え方に慣れる。</t>
    <rPh sb="1" eb="3">
      <t>ゲンカ</t>
    </rPh>
    <rPh sb="3" eb="5">
      <t>ケイスウ</t>
    </rPh>
    <rPh sb="6" eb="8">
      <t>フクリ</t>
    </rPh>
    <rPh sb="9" eb="11">
      <t>ネンキン</t>
    </rPh>
    <rPh sb="13" eb="14">
      <t>ツカ</t>
    </rPh>
    <rPh sb="15" eb="16">
      <t>カタ</t>
    </rPh>
    <rPh sb="16" eb="17">
      <t>カンガ</t>
    </rPh>
    <rPh sb="18" eb="19">
      <t>カタ</t>
    </rPh>
    <rPh sb="20" eb="21">
      <t>ナ</t>
    </rPh>
    <phoneticPr fontId="3"/>
  </si>
  <si>
    <t>CASE11 貨幣の時間価値 P.57</t>
    <rPh sb="7" eb="9">
      <t>カヘイ</t>
    </rPh>
    <rPh sb="10" eb="12">
      <t>ジカン</t>
    </rPh>
    <rPh sb="12" eb="14">
      <t>カチ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</si>
</sst>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Red]\-#,##0.0"/>
    <numFmt numFmtId="177" formatCode="#,##0.0000;[Red]\-#,##0.0000"/>
    <numFmt numFmtId="178" formatCode="0.0%"/>
    <numFmt numFmtId="179" formatCode="#,##0.000;[Red]\-#,##0.000"/>
    <numFmt numFmtId="180" formatCode=";;;"/>
  </numFmts>
  <fonts count="15" x14ac:knownFonts="1">
    <font>
      <sz val="10"/>
      <color theme="1"/>
      <name val="游ゴシック"/>
      <family val="2"/>
      <charset val="128"/>
      <scheme val="minor"/>
    </font>
    <font>
      <sz val="10"/>
      <color theme="1"/>
      <name val="游ゴシック"/>
      <family val="2"/>
      <charset val="128"/>
      <scheme val="minor"/>
    </font>
    <font>
      <b/>
      <sz val="10"/>
      <color rgb="FF3F3F3F"/>
      <name val="游ゴシック"/>
      <family val="2"/>
      <charset val="128"/>
      <scheme val="minor"/>
    </font>
    <font>
      <sz val="6"/>
      <name val="游ゴシック"/>
      <family val="2"/>
      <charset val="128"/>
      <scheme val="minor"/>
    </font>
    <font>
      <b/>
      <sz val="10"/>
      <color rgb="FF3F3F3F"/>
      <name val="游ゴシック"/>
      <family val="3"/>
      <charset val="128"/>
      <scheme val="minor"/>
    </font>
    <font>
      <sz val="10"/>
      <color theme="1"/>
      <name val="游ゴシック"/>
      <family val="3"/>
      <charset val="128"/>
      <scheme val="minor"/>
    </font>
    <font>
      <b/>
      <sz val="10"/>
      <color theme="1"/>
      <name val="游ゴシック"/>
      <family val="3"/>
      <charset val="128"/>
      <scheme val="minor"/>
    </font>
    <font>
      <sz val="9"/>
      <color indexed="81"/>
      <name val="ＭＳ Ｐゴシック"/>
      <family val="3"/>
      <charset val="128"/>
    </font>
    <font>
      <b/>
      <sz val="9"/>
      <color indexed="81"/>
      <name val="ＭＳ Ｐゴシック"/>
      <family val="3"/>
      <charset val="128"/>
    </font>
    <font>
      <b/>
      <sz val="10"/>
      <color theme="0"/>
      <name val="游ゴシック"/>
      <family val="2"/>
      <charset val="128"/>
      <scheme val="minor"/>
    </font>
    <font>
      <sz val="10"/>
      <color rgb="FF3F3F3F"/>
      <name val="游ゴシック"/>
      <family val="3"/>
      <charset val="128"/>
      <scheme val="minor"/>
    </font>
    <font>
      <sz val="10"/>
      <color rgb="FFFF0000"/>
      <name val="游ゴシック"/>
      <family val="3"/>
      <charset val="128"/>
      <scheme val="minor"/>
    </font>
    <font>
      <b/>
      <sz val="12"/>
      <color theme="1"/>
      <name val="游ゴシック"/>
      <family val="3"/>
      <charset val="128"/>
      <scheme val="minor"/>
    </font>
    <font>
      <u/>
      <sz val="10"/>
      <color theme="1"/>
      <name val="游ゴシック"/>
      <family val="3"/>
      <charset val="128"/>
      <scheme val="minor"/>
    </font>
    <font>
      <b/>
      <sz val="10"/>
      <color rgb="FFFF0000"/>
      <name val="游ゴシック"/>
      <family val="3"/>
      <charset val="128"/>
      <scheme val="minor"/>
    </font>
  </fonts>
  <fills count="17">
    <fill>
      <patternFill patternType="none"/>
    </fill>
    <fill>
      <patternFill patternType="gray125"/>
    </fill>
    <fill>
      <patternFill patternType="solid">
        <fgColor rgb="FFF2F2F2"/>
      </patternFill>
    </fill>
    <fill>
      <patternFill patternType="solid">
        <fgColor rgb="FFFFFF00"/>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FF99"/>
        <bgColor indexed="64"/>
      </patternFill>
    </fill>
    <fill>
      <patternFill patternType="solid">
        <fgColor theme="0" tint="-0.14999847407452621"/>
        <bgColor indexed="64"/>
      </patternFill>
    </fill>
    <fill>
      <patternFill patternType="solid">
        <fgColor theme="8"/>
        <bgColor theme="8"/>
      </patternFill>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8" tint="0.59999389629810485"/>
        <bgColor indexed="64"/>
      </patternFill>
    </fill>
  </fills>
  <borders count="39">
    <border>
      <left/>
      <right/>
      <top/>
      <bottom/>
      <diagonal/>
    </border>
    <border>
      <left style="thin">
        <color rgb="FF3F3F3F"/>
      </left>
      <right style="thin">
        <color rgb="FF3F3F3F"/>
      </right>
      <top style="thin">
        <color rgb="FF3F3F3F"/>
      </top>
      <bottom style="thin">
        <color rgb="FF3F3F3F"/>
      </bottom>
      <diagonal/>
    </border>
    <border>
      <left style="thin">
        <color rgb="FF3F3F3F"/>
      </left>
      <right/>
      <top style="thin">
        <color rgb="FF3F3F3F"/>
      </top>
      <bottom/>
      <diagonal/>
    </border>
    <border>
      <left/>
      <right/>
      <top style="thin">
        <color rgb="FF3F3F3F"/>
      </top>
      <bottom/>
      <diagonal/>
    </border>
    <border>
      <left/>
      <right style="thin">
        <color rgb="FF3F3F3F"/>
      </right>
      <top style="thin">
        <color rgb="FF3F3F3F"/>
      </top>
      <bottom/>
      <diagonal/>
    </border>
    <border>
      <left style="thin">
        <color rgb="FF3F3F3F"/>
      </left>
      <right/>
      <top/>
      <bottom/>
      <diagonal/>
    </border>
    <border>
      <left/>
      <right style="thin">
        <color rgb="FF3F3F3F"/>
      </right>
      <top/>
      <bottom/>
      <diagonal/>
    </border>
    <border>
      <left style="thin">
        <color rgb="FF3F3F3F"/>
      </left>
      <right/>
      <top/>
      <bottom style="thin">
        <color rgb="FF3F3F3F"/>
      </bottom>
      <diagonal/>
    </border>
    <border>
      <left/>
      <right/>
      <top/>
      <bottom style="thin">
        <color rgb="FF3F3F3F"/>
      </bottom>
      <diagonal/>
    </border>
    <border>
      <left/>
      <right style="thin">
        <color rgb="FF3F3F3F"/>
      </right>
      <top/>
      <bottom style="thin">
        <color rgb="FF3F3F3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top style="dotted">
        <color indexed="64"/>
      </top>
      <bottom/>
      <diagonal/>
    </border>
    <border>
      <left style="dotted">
        <color indexed="64"/>
      </left>
      <right/>
      <top/>
      <bottom style="dotted">
        <color indexed="64"/>
      </bottom>
      <diagonal/>
    </border>
    <border>
      <left/>
      <right/>
      <top style="thin">
        <color indexed="64"/>
      </top>
      <bottom style="double">
        <color indexed="64"/>
      </bottom>
      <diagonal/>
    </border>
    <border>
      <left/>
      <right/>
      <top/>
      <bottom style="double">
        <color indexed="64"/>
      </bottom>
      <diagonal/>
    </border>
    <border>
      <left style="thin">
        <color theme="8"/>
      </left>
      <right/>
      <top style="thin">
        <color theme="8"/>
      </top>
      <bottom/>
      <diagonal/>
    </border>
    <border>
      <left/>
      <right/>
      <top style="thin">
        <color theme="8"/>
      </top>
      <bottom/>
      <diagonal/>
    </border>
    <border>
      <left style="thin">
        <color theme="8"/>
      </left>
      <right style="hair">
        <color theme="8"/>
      </right>
      <top style="thin">
        <color theme="8"/>
      </top>
      <bottom/>
      <diagonal/>
    </border>
    <border>
      <left style="hair">
        <color theme="8"/>
      </left>
      <right style="hair">
        <color theme="8"/>
      </right>
      <top style="thin">
        <color theme="8"/>
      </top>
      <bottom/>
      <diagonal/>
    </border>
    <border>
      <left style="thin">
        <color theme="8"/>
      </left>
      <right style="hair">
        <color theme="8"/>
      </right>
      <top style="thin">
        <color theme="8"/>
      </top>
      <bottom style="thin">
        <color theme="8"/>
      </bottom>
      <diagonal/>
    </border>
    <border>
      <left style="hair">
        <color theme="8"/>
      </left>
      <right style="hair">
        <color theme="8"/>
      </right>
      <top style="thin">
        <color theme="8"/>
      </top>
      <bottom style="thin">
        <color theme="8"/>
      </bottom>
      <diagonal/>
    </border>
  </borders>
  <cellStyleXfs count="6">
    <xf numFmtId="0" fontId="0" fillId="0" borderId="0">
      <alignment vertical="center"/>
    </xf>
    <xf numFmtId="9" fontId="1" fillId="0" borderId="0" applyFont="0" applyFill="0" applyBorder="0" applyAlignment="0" applyProtection="0">
      <alignment vertical="center"/>
    </xf>
    <xf numFmtId="0" fontId="2" fillId="2" borderId="1" applyNumberFormat="0" applyAlignment="0" applyProtection="0">
      <alignment vertical="center"/>
    </xf>
    <xf numFmtId="0" fontId="2" fillId="2" borderId="1" applyNumberFormat="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252">
    <xf numFmtId="0" fontId="0" fillId="0" borderId="0" xfId="0">
      <alignment vertical="center"/>
    </xf>
    <xf numFmtId="38" fontId="2" fillId="2" borderId="2" xfId="3" applyNumberFormat="1" applyFont="1" applyBorder="1">
      <alignment vertical="center"/>
    </xf>
    <xf numFmtId="38" fontId="4" fillId="2" borderId="3" xfId="3" applyNumberFormat="1" applyFont="1" applyBorder="1">
      <alignment vertical="center"/>
    </xf>
    <xf numFmtId="38" fontId="4" fillId="2" borderId="4" xfId="3" applyNumberFormat="1" applyFont="1" applyBorder="1">
      <alignment vertical="center"/>
    </xf>
    <xf numFmtId="38" fontId="5" fillId="0" borderId="0" xfId="4" applyFont="1">
      <alignment vertical="center"/>
    </xf>
    <xf numFmtId="38" fontId="4" fillId="2" borderId="5" xfId="3" applyNumberFormat="1" applyFont="1" applyBorder="1">
      <alignment vertical="center"/>
    </xf>
    <xf numFmtId="38" fontId="4" fillId="2" borderId="0" xfId="3" applyNumberFormat="1" applyFont="1" applyBorder="1">
      <alignment vertical="center"/>
    </xf>
    <xf numFmtId="38" fontId="4" fillId="2" borderId="6" xfId="3" applyNumberFormat="1" applyFont="1" applyBorder="1">
      <alignment vertical="center"/>
    </xf>
    <xf numFmtId="38" fontId="4" fillId="2" borderId="7" xfId="3" applyNumberFormat="1" applyFont="1" applyBorder="1">
      <alignment vertical="center"/>
    </xf>
    <xf numFmtId="38" fontId="4" fillId="2" borderId="8" xfId="3" applyNumberFormat="1" applyFont="1" applyBorder="1">
      <alignment vertical="center"/>
    </xf>
    <xf numFmtId="38" fontId="4" fillId="2" borderId="9" xfId="3" applyNumberFormat="1" applyFont="1" applyBorder="1">
      <alignment vertical="center"/>
    </xf>
    <xf numFmtId="38" fontId="4" fillId="0" borderId="0" xfId="3" applyNumberFormat="1" applyFont="1" applyFill="1" applyBorder="1">
      <alignment vertical="center"/>
    </xf>
    <xf numFmtId="38" fontId="5" fillId="0" borderId="0" xfId="4" applyFont="1" applyFill="1">
      <alignment vertical="center"/>
    </xf>
    <xf numFmtId="38" fontId="2" fillId="2" borderId="10" xfId="2" applyNumberFormat="1" applyBorder="1">
      <alignment vertical="center"/>
    </xf>
    <xf numFmtId="38" fontId="2" fillId="2" borderId="11" xfId="2" applyNumberFormat="1" applyBorder="1">
      <alignment vertical="center"/>
    </xf>
    <xf numFmtId="38" fontId="2" fillId="2" borderId="12" xfId="2" applyNumberFormat="1" applyBorder="1">
      <alignment vertical="center"/>
    </xf>
    <xf numFmtId="38" fontId="2" fillId="2" borderId="13" xfId="2" applyNumberFormat="1" applyBorder="1">
      <alignment vertical="center"/>
    </xf>
    <xf numFmtId="38" fontId="2" fillId="2" borderId="0" xfId="2" applyNumberFormat="1" applyBorder="1">
      <alignment vertical="center"/>
    </xf>
    <xf numFmtId="38" fontId="2" fillId="2" borderId="14" xfId="2" applyNumberFormat="1" applyBorder="1">
      <alignment vertical="center"/>
    </xf>
    <xf numFmtId="38" fontId="2" fillId="2" borderId="15" xfId="2" applyNumberFormat="1" applyBorder="1">
      <alignment vertical="center"/>
    </xf>
    <xf numFmtId="38" fontId="2" fillId="2" borderId="16" xfId="2" applyNumberFormat="1" applyBorder="1">
      <alignment vertical="center"/>
    </xf>
    <xf numFmtId="38" fontId="2" fillId="2" borderId="17" xfId="2" applyNumberFormat="1" applyBorder="1">
      <alignment vertical="center"/>
    </xf>
    <xf numFmtId="38" fontId="2" fillId="0" borderId="0" xfId="2" applyNumberFormat="1" applyFill="1" applyBorder="1">
      <alignment vertical="center"/>
    </xf>
    <xf numFmtId="176" fontId="5" fillId="0" borderId="0" xfId="4" applyNumberFormat="1" applyFont="1">
      <alignment vertical="center"/>
    </xf>
    <xf numFmtId="38" fontId="5" fillId="0" borderId="17" xfId="4" applyFont="1" applyBorder="1">
      <alignment vertical="center"/>
    </xf>
    <xf numFmtId="38" fontId="5" fillId="0" borderId="18" xfId="4" applyFont="1" applyBorder="1">
      <alignment vertical="center"/>
    </xf>
    <xf numFmtId="38" fontId="5" fillId="0" borderId="12" xfId="4" applyFont="1" applyBorder="1">
      <alignment vertical="center"/>
    </xf>
    <xf numFmtId="38" fontId="5" fillId="0" borderId="19" xfId="4" applyFont="1" applyBorder="1">
      <alignment vertical="center"/>
    </xf>
    <xf numFmtId="177" fontId="5" fillId="0" borderId="0" xfId="4" applyNumberFormat="1" applyFont="1">
      <alignment vertical="center"/>
    </xf>
    <xf numFmtId="38" fontId="5" fillId="0" borderId="15" xfId="4" applyFont="1" applyBorder="1">
      <alignment vertical="center"/>
    </xf>
    <xf numFmtId="38" fontId="5" fillId="0" borderId="10" xfId="4" applyFont="1" applyBorder="1">
      <alignment vertical="center"/>
    </xf>
    <xf numFmtId="176" fontId="5" fillId="0" borderId="12" xfId="4" applyNumberFormat="1" applyFont="1" applyBorder="1">
      <alignment vertical="center"/>
    </xf>
    <xf numFmtId="38" fontId="5" fillId="4" borderId="0" xfId="4" applyFont="1" applyFill="1">
      <alignment vertical="center"/>
    </xf>
    <xf numFmtId="176" fontId="5" fillId="4" borderId="0" xfId="4" applyNumberFormat="1" applyFont="1" applyFill="1">
      <alignment vertical="center"/>
    </xf>
    <xf numFmtId="40" fontId="5" fillId="4" borderId="0" xfId="4" applyNumberFormat="1" applyFont="1" applyFill="1">
      <alignment vertical="center"/>
    </xf>
    <xf numFmtId="178" fontId="5" fillId="4" borderId="0" xfId="1" applyNumberFormat="1" applyFont="1" applyFill="1">
      <alignment vertical="center"/>
    </xf>
    <xf numFmtId="38" fontId="5" fillId="0" borderId="0" xfId="4" applyFont="1" applyBorder="1">
      <alignment vertical="center"/>
    </xf>
    <xf numFmtId="10" fontId="5" fillId="4" borderId="0" xfId="1" applyNumberFormat="1" applyFont="1" applyFill="1">
      <alignment vertical="center"/>
    </xf>
    <xf numFmtId="38" fontId="6" fillId="0" borderId="0" xfId="4" applyFont="1">
      <alignment vertical="center"/>
    </xf>
    <xf numFmtId="38" fontId="5" fillId="0" borderId="11" xfId="4" applyFont="1" applyBorder="1">
      <alignment vertical="center"/>
    </xf>
    <xf numFmtId="38" fontId="5" fillId="0" borderId="13" xfId="4" applyFont="1" applyBorder="1">
      <alignment vertical="center"/>
    </xf>
    <xf numFmtId="38" fontId="5" fillId="0" borderId="14" xfId="4" applyFont="1" applyBorder="1">
      <alignment vertical="center"/>
    </xf>
    <xf numFmtId="38" fontId="5" fillId="0" borderId="16" xfId="4" applyFont="1" applyBorder="1">
      <alignment vertical="center"/>
    </xf>
    <xf numFmtId="38" fontId="5" fillId="4" borderId="0" xfId="4" applyFont="1" applyFill="1" applyBorder="1">
      <alignment vertical="center"/>
    </xf>
    <xf numFmtId="40" fontId="5" fillId="4" borderId="19" xfId="4" applyNumberFormat="1" applyFont="1" applyFill="1" applyBorder="1">
      <alignment vertical="center"/>
    </xf>
    <xf numFmtId="40" fontId="5" fillId="3" borderId="12" xfId="4" applyNumberFormat="1" applyFont="1" applyFill="1" applyBorder="1">
      <alignment vertical="center"/>
    </xf>
    <xf numFmtId="38" fontId="2" fillId="2" borderId="16" xfId="5" applyFont="1" applyFill="1" applyBorder="1">
      <alignment vertical="center"/>
    </xf>
    <xf numFmtId="38" fontId="5" fillId="0" borderId="0" xfId="5" applyFont="1">
      <alignment vertical="center"/>
    </xf>
    <xf numFmtId="38" fontId="5" fillId="0" borderId="11" xfId="5" applyFont="1" applyFill="1" applyBorder="1">
      <alignment vertical="center"/>
    </xf>
    <xf numFmtId="38" fontId="5" fillId="0" borderId="10" xfId="5" applyFont="1" applyFill="1" applyBorder="1">
      <alignment vertical="center"/>
    </xf>
    <xf numFmtId="38" fontId="5" fillId="0" borderId="12" xfId="5" applyFont="1" applyFill="1" applyBorder="1">
      <alignment vertical="center"/>
    </xf>
    <xf numFmtId="38" fontId="5" fillId="0" borderId="0" xfId="5" applyFont="1" applyFill="1" applyBorder="1">
      <alignment vertical="center"/>
    </xf>
    <xf numFmtId="38" fontId="5" fillId="0" borderId="13" xfId="5" applyFont="1" applyFill="1" applyBorder="1">
      <alignment vertical="center"/>
    </xf>
    <xf numFmtId="38" fontId="5" fillId="0" borderId="14" xfId="5" applyFont="1" applyFill="1" applyBorder="1">
      <alignment vertical="center"/>
    </xf>
    <xf numFmtId="38" fontId="5" fillId="0" borderId="17" xfId="5" applyFont="1" applyFill="1" applyBorder="1">
      <alignment vertical="center"/>
    </xf>
    <xf numFmtId="38" fontId="5" fillId="0" borderId="15" xfId="5" applyFont="1" applyFill="1" applyBorder="1">
      <alignment vertical="center"/>
    </xf>
    <xf numFmtId="38" fontId="5" fillId="0" borderId="17" xfId="4" applyFont="1" applyFill="1" applyBorder="1">
      <alignment vertical="center"/>
    </xf>
    <xf numFmtId="38" fontId="5" fillId="0" borderId="18" xfId="4" applyFont="1" applyFill="1" applyBorder="1">
      <alignment vertical="center"/>
    </xf>
    <xf numFmtId="38" fontId="5" fillId="0" borderId="15" xfId="4" applyFont="1" applyFill="1" applyBorder="1">
      <alignment vertical="center"/>
    </xf>
    <xf numFmtId="38" fontId="5" fillId="0" borderId="12" xfId="4" applyFont="1" applyFill="1" applyBorder="1">
      <alignment vertical="center"/>
    </xf>
    <xf numFmtId="38" fontId="5" fillId="0" borderId="19" xfId="4" applyFont="1" applyFill="1" applyBorder="1">
      <alignment vertical="center"/>
    </xf>
    <xf numFmtId="38" fontId="5" fillId="0" borderId="10" xfId="4" applyFont="1" applyFill="1" applyBorder="1">
      <alignment vertical="center"/>
    </xf>
    <xf numFmtId="38" fontId="5" fillId="0" borderId="0" xfId="4" applyFont="1" applyFill="1" applyBorder="1">
      <alignment vertical="center"/>
    </xf>
    <xf numFmtId="38" fontId="5" fillId="0" borderId="0" xfId="5" applyFont="1" applyFill="1">
      <alignment vertical="center"/>
    </xf>
    <xf numFmtId="177" fontId="5" fillId="0" borderId="0" xfId="4" applyNumberFormat="1" applyFont="1" applyFill="1">
      <alignment vertical="center"/>
    </xf>
    <xf numFmtId="38" fontId="5" fillId="0" borderId="13" xfId="4" applyFont="1" applyFill="1" applyBorder="1">
      <alignment vertical="center"/>
    </xf>
    <xf numFmtId="38" fontId="5" fillId="0" borderId="19" xfId="5" applyFont="1" applyFill="1" applyBorder="1">
      <alignment vertical="center"/>
    </xf>
    <xf numFmtId="38" fontId="5" fillId="5" borderId="10" xfId="4" applyFont="1" applyFill="1" applyBorder="1">
      <alignment vertical="center"/>
    </xf>
    <xf numFmtId="38" fontId="5" fillId="5" borderId="12" xfId="5" applyFont="1" applyFill="1" applyBorder="1">
      <alignment vertical="center"/>
    </xf>
    <xf numFmtId="38" fontId="5" fillId="5" borderId="15" xfId="4" applyFont="1" applyFill="1" applyBorder="1">
      <alignment vertical="center"/>
    </xf>
    <xf numFmtId="38" fontId="5" fillId="5" borderId="17" xfId="5" applyFont="1" applyFill="1" applyBorder="1">
      <alignment vertical="center"/>
    </xf>
    <xf numFmtId="38" fontId="5" fillId="5" borderId="0" xfId="5" applyFont="1" applyFill="1" applyBorder="1">
      <alignment vertical="center"/>
    </xf>
    <xf numFmtId="38" fontId="5" fillId="5" borderId="16" xfId="5" applyFont="1" applyFill="1" applyBorder="1">
      <alignment vertical="center"/>
    </xf>
    <xf numFmtId="38" fontId="5" fillId="5" borderId="19" xfId="4" applyFont="1" applyFill="1" applyBorder="1">
      <alignment vertical="center"/>
    </xf>
    <xf numFmtId="38" fontId="5" fillId="5" borderId="23" xfId="4" applyFont="1" applyFill="1" applyBorder="1">
      <alignment vertical="center"/>
    </xf>
    <xf numFmtId="38" fontId="5" fillId="5" borderId="18" xfId="4" applyFont="1" applyFill="1" applyBorder="1">
      <alignment vertical="center"/>
    </xf>
    <xf numFmtId="38" fontId="5" fillId="5" borderId="19" xfId="5" applyFont="1" applyFill="1" applyBorder="1">
      <alignment vertical="center"/>
    </xf>
    <xf numFmtId="38" fontId="5" fillId="5" borderId="18" xfId="5" applyFont="1" applyFill="1" applyBorder="1">
      <alignment vertical="center"/>
    </xf>
    <xf numFmtId="38" fontId="5" fillId="0" borderId="16" xfId="5" quotePrefix="1" applyFont="1" applyFill="1" applyBorder="1" applyAlignment="1">
      <alignment horizontal="right" vertical="center"/>
    </xf>
    <xf numFmtId="176" fontId="5" fillId="0" borderId="0" xfId="4" applyNumberFormat="1" applyFont="1" applyFill="1">
      <alignment vertical="center"/>
    </xf>
    <xf numFmtId="179" fontId="5" fillId="0" borderId="0" xfId="4" applyNumberFormat="1" applyFont="1" applyFill="1">
      <alignment vertical="center"/>
    </xf>
    <xf numFmtId="176" fontId="5" fillId="0" borderId="0" xfId="5" applyNumberFormat="1" applyFont="1" applyFill="1" applyBorder="1">
      <alignment vertical="center"/>
    </xf>
    <xf numFmtId="38" fontId="5" fillId="3" borderId="0" xfId="4" applyFont="1" applyFill="1">
      <alignment vertical="center"/>
    </xf>
    <xf numFmtId="10" fontId="5" fillId="3" borderId="0" xfId="1" applyNumberFormat="1" applyFont="1" applyFill="1">
      <alignment vertical="center"/>
    </xf>
    <xf numFmtId="38" fontId="5" fillId="0" borderId="20" xfId="4" applyFont="1" applyBorder="1">
      <alignment vertical="center"/>
    </xf>
    <xf numFmtId="9" fontId="5" fillId="0" borderId="0" xfId="1" applyFont="1">
      <alignment vertical="center"/>
    </xf>
    <xf numFmtId="178" fontId="5" fillId="0" borderId="0" xfId="1" applyNumberFormat="1" applyFont="1">
      <alignment vertical="center"/>
    </xf>
    <xf numFmtId="179" fontId="5" fillId="0" borderId="0" xfId="4" applyNumberFormat="1" applyFont="1">
      <alignment vertical="center"/>
    </xf>
    <xf numFmtId="9" fontId="5" fillId="0" borderId="12" xfId="1" applyFont="1" applyBorder="1">
      <alignment vertical="center"/>
    </xf>
    <xf numFmtId="9" fontId="5" fillId="0" borderId="17" xfId="1" applyFont="1" applyBorder="1">
      <alignment vertical="center"/>
    </xf>
    <xf numFmtId="9" fontId="5" fillId="0" borderId="22" xfId="1" applyFont="1" applyBorder="1">
      <alignment vertical="center"/>
    </xf>
    <xf numFmtId="9" fontId="5" fillId="0" borderId="0" xfId="1" applyFont="1" applyFill="1">
      <alignment vertical="center"/>
    </xf>
    <xf numFmtId="178" fontId="5" fillId="3" borderId="0" xfId="1" applyNumberFormat="1" applyFont="1" applyFill="1">
      <alignment vertical="center"/>
    </xf>
    <xf numFmtId="38" fontId="5" fillId="6" borderId="0" xfId="4" applyFont="1" applyFill="1" applyBorder="1">
      <alignment vertical="center"/>
    </xf>
    <xf numFmtId="38" fontId="5" fillId="7" borderId="0" xfId="5" applyFont="1" applyFill="1" applyBorder="1">
      <alignment vertical="center"/>
    </xf>
    <xf numFmtId="38" fontId="5" fillId="7" borderId="0" xfId="4" applyFont="1" applyFill="1" applyBorder="1">
      <alignment vertical="center"/>
    </xf>
    <xf numFmtId="176" fontId="5" fillId="7" borderId="0" xfId="5" applyNumberFormat="1" applyFont="1" applyFill="1" applyBorder="1">
      <alignment vertical="center"/>
    </xf>
    <xf numFmtId="38" fontId="5" fillId="6" borderId="0" xfId="4" applyFont="1" applyFill="1">
      <alignment vertical="center"/>
    </xf>
    <xf numFmtId="38" fontId="5" fillId="0" borderId="0" xfId="4" applyFont="1" applyFill="1" applyAlignment="1">
      <alignment horizontal="right" vertical="center"/>
    </xf>
    <xf numFmtId="38" fontId="6" fillId="0" borderId="0" xfId="4" applyFont="1" applyFill="1">
      <alignment vertical="center"/>
    </xf>
    <xf numFmtId="38" fontId="5" fillId="7" borderId="19" xfId="5" applyFont="1" applyFill="1" applyBorder="1">
      <alignment vertical="center"/>
    </xf>
    <xf numFmtId="38" fontId="5" fillId="7" borderId="18" xfId="5" applyFont="1" applyFill="1" applyBorder="1">
      <alignment vertical="center"/>
    </xf>
    <xf numFmtId="38" fontId="5" fillId="7" borderId="0" xfId="4" applyFont="1" applyFill="1">
      <alignment vertical="center"/>
    </xf>
    <xf numFmtId="38" fontId="5" fillId="8" borderId="0" xfId="4" applyFont="1" applyFill="1">
      <alignment vertical="center"/>
    </xf>
    <xf numFmtId="38" fontId="5" fillId="6" borderId="0" xfId="5" applyFont="1" applyFill="1">
      <alignment vertical="center"/>
    </xf>
    <xf numFmtId="38" fontId="5" fillId="8" borderId="0" xfId="4" applyFont="1" applyFill="1" applyBorder="1">
      <alignment vertical="center"/>
    </xf>
    <xf numFmtId="38" fontId="5" fillId="0" borderId="23" xfId="4" applyFont="1" applyFill="1" applyBorder="1">
      <alignment vertical="center"/>
    </xf>
    <xf numFmtId="38" fontId="5" fillId="0" borderId="24" xfId="4" applyFont="1" applyFill="1" applyBorder="1">
      <alignment vertical="center"/>
    </xf>
    <xf numFmtId="38" fontId="2" fillId="8" borderId="13" xfId="2" applyNumberFormat="1" applyFill="1" applyBorder="1">
      <alignment vertical="center"/>
    </xf>
    <xf numFmtId="38" fontId="2" fillId="7" borderId="13" xfId="2" applyNumberFormat="1" applyFill="1" applyBorder="1">
      <alignment vertical="center"/>
    </xf>
    <xf numFmtId="38" fontId="2" fillId="5" borderId="13" xfId="2" applyNumberFormat="1" applyFill="1" applyBorder="1">
      <alignment vertical="center"/>
    </xf>
    <xf numFmtId="38" fontId="2" fillId="6" borderId="13" xfId="2" applyNumberFormat="1" applyFill="1" applyBorder="1">
      <alignment vertical="center"/>
    </xf>
    <xf numFmtId="38" fontId="5" fillId="0" borderId="25" xfId="4" applyFont="1" applyBorder="1">
      <alignment vertical="center"/>
    </xf>
    <xf numFmtId="38" fontId="5" fillId="0" borderId="26" xfId="4" applyFont="1" applyBorder="1">
      <alignment vertical="center"/>
    </xf>
    <xf numFmtId="38" fontId="5" fillId="0" borderId="27" xfId="4" applyFont="1" applyBorder="1">
      <alignment vertical="center"/>
    </xf>
    <xf numFmtId="38" fontId="5" fillId="0" borderId="28" xfId="4" applyFont="1" applyBorder="1">
      <alignment vertical="center"/>
    </xf>
    <xf numFmtId="38" fontId="5" fillId="0" borderId="29" xfId="4" applyFont="1" applyBorder="1">
      <alignment vertical="center"/>
    </xf>
    <xf numFmtId="38" fontId="5" fillId="0" borderId="30" xfId="4" applyFont="1" applyBorder="1">
      <alignment vertical="center"/>
    </xf>
    <xf numFmtId="38" fontId="5" fillId="0" borderId="0" xfId="4" applyFont="1" applyAlignment="1">
      <alignment horizontal="right" vertical="center"/>
    </xf>
    <xf numFmtId="177" fontId="5" fillId="0" borderId="0" xfId="5" applyNumberFormat="1" applyFont="1">
      <alignment vertical="center"/>
    </xf>
    <xf numFmtId="38" fontId="0" fillId="0" borderId="0" xfId="5" applyFont="1">
      <alignment vertical="center"/>
    </xf>
    <xf numFmtId="176" fontId="0" fillId="3" borderId="0" xfId="5" applyNumberFormat="1" applyFont="1" applyFill="1">
      <alignment vertical="center"/>
    </xf>
    <xf numFmtId="38" fontId="0" fillId="9" borderId="0" xfId="5" applyFont="1" applyFill="1">
      <alignment vertical="center"/>
    </xf>
    <xf numFmtId="38" fontId="0" fillId="3" borderId="0" xfId="5" applyFont="1" applyFill="1">
      <alignment vertical="center"/>
    </xf>
    <xf numFmtId="38" fontId="0" fillId="10" borderId="0" xfId="5" applyFont="1" applyFill="1">
      <alignment vertical="center"/>
    </xf>
    <xf numFmtId="9" fontId="0" fillId="10" borderId="0" xfId="1" applyFont="1" applyFill="1">
      <alignment vertical="center"/>
    </xf>
    <xf numFmtId="38" fontId="0" fillId="10" borderId="0" xfId="5" applyFont="1" applyFill="1" applyBorder="1">
      <alignment vertical="center"/>
    </xf>
    <xf numFmtId="38" fontId="0" fillId="10" borderId="17" xfId="5" applyFont="1" applyFill="1" applyBorder="1">
      <alignment vertical="center"/>
    </xf>
    <xf numFmtId="38" fontId="0" fillId="10" borderId="16" xfId="5" applyFont="1" applyFill="1" applyBorder="1">
      <alignment vertical="center"/>
    </xf>
    <xf numFmtId="38" fontId="0" fillId="10" borderId="15" xfId="5" applyFont="1" applyFill="1" applyBorder="1">
      <alignment vertical="center"/>
    </xf>
    <xf numFmtId="38" fontId="0" fillId="10" borderId="14" xfId="5" applyFont="1" applyFill="1" applyBorder="1">
      <alignment vertical="center"/>
    </xf>
    <xf numFmtId="38" fontId="0" fillId="10" borderId="13" xfId="5" applyFont="1" applyFill="1" applyBorder="1">
      <alignment vertical="center"/>
    </xf>
    <xf numFmtId="176" fontId="0" fillId="10" borderId="0" xfId="5" applyNumberFormat="1" applyFont="1" applyFill="1">
      <alignment vertical="center"/>
    </xf>
    <xf numFmtId="38" fontId="0" fillId="10" borderId="12" xfId="5" applyFont="1" applyFill="1" applyBorder="1">
      <alignment vertical="center"/>
    </xf>
    <xf numFmtId="38" fontId="0" fillId="10" borderId="11" xfId="5" applyFont="1" applyFill="1" applyBorder="1">
      <alignment vertical="center"/>
    </xf>
    <xf numFmtId="38" fontId="0" fillId="10" borderId="10" xfId="5" applyFont="1" applyFill="1" applyBorder="1">
      <alignment vertical="center"/>
    </xf>
    <xf numFmtId="38" fontId="5" fillId="9" borderId="0" xfId="4" applyFont="1" applyFill="1">
      <alignment vertical="center"/>
    </xf>
    <xf numFmtId="38" fontId="0" fillId="3" borderId="32" xfId="5" applyFont="1" applyFill="1" applyBorder="1">
      <alignment vertical="center"/>
    </xf>
    <xf numFmtId="38" fontId="0" fillId="0" borderId="16" xfId="5" applyFont="1" applyBorder="1">
      <alignment vertical="center"/>
    </xf>
    <xf numFmtId="38" fontId="0" fillId="0" borderId="11" xfId="5" applyFont="1" applyBorder="1">
      <alignment vertical="center"/>
    </xf>
    <xf numFmtId="38" fontId="0" fillId="3" borderId="31" xfId="5" applyFont="1" applyFill="1" applyBorder="1">
      <alignment vertical="center"/>
    </xf>
    <xf numFmtId="38" fontId="0" fillId="9" borderId="31" xfId="5" applyFont="1" applyFill="1" applyBorder="1">
      <alignment vertical="center"/>
    </xf>
    <xf numFmtId="38" fontId="0" fillId="9" borderId="21" xfId="5" applyFont="1" applyFill="1" applyBorder="1">
      <alignment vertical="center"/>
    </xf>
    <xf numFmtId="38" fontId="0" fillId="0" borderId="0" xfId="5" quotePrefix="1" applyFont="1">
      <alignment vertical="center"/>
    </xf>
    <xf numFmtId="176" fontId="0" fillId="0" borderId="0" xfId="5" applyNumberFormat="1" applyFont="1">
      <alignment vertical="center"/>
    </xf>
    <xf numFmtId="38" fontId="6" fillId="3" borderId="0" xfId="5" applyFont="1" applyFill="1">
      <alignment vertical="center"/>
    </xf>
    <xf numFmtId="176" fontId="6" fillId="9" borderId="31" xfId="5" applyNumberFormat="1" applyFont="1" applyFill="1" applyBorder="1">
      <alignment vertical="center"/>
    </xf>
    <xf numFmtId="38" fontId="6" fillId="9" borderId="31" xfId="5" applyFont="1" applyFill="1" applyBorder="1">
      <alignment vertical="center"/>
    </xf>
    <xf numFmtId="38" fontId="6" fillId="0" borderId="0" xfId="5" applyFont="1">
      <alignment vertical="center"/>
    </xf>
    <xf numFmtId="38" fontId="6" fillId="9" borderId="0" xfId="4" applyFont="1" applyFill="1">
      <alignment vertical="center"/>
    </xf>
    <xf numFmtId="38" fontId="5" fillId="9" borderId="31" xfId="4" applyFont="1" applyFill="1" applyBorder="1">
      <alignment vertical="center"/>
    </xf>
    <xf numFmtId="0" fontId="9" fillId="11" borderId="33" xfId="0" applyFont="1" applyFill="1" applyBorder="1">
      <alignment vertical="center"/>
    </xf>
    <xf numFmtId="0" fontId="9" fillId="11" borderId="34" xfId="0" applyFont="1" applyFill="1" applyBorder="1">
      <alignment vertical="center"/>
    </xf>
    <xf numFmtId="0" fontId="0" fillId="13" borderId="35" xfId="0" applyFont="1" applyFill="1" applyBorder="1">
      <alignment vertical="center"/>
    </xf>
    <xf numFmtId="0" fontId="0" fillId="13" borderId="36" xfId="0" applyFont="1" applyFill="1" applyBorder="1">
      <alignment vertical="center"/>
    </xf>
    <xf numFmtId="180" fontId="0" fillId="13" borderId="36" xfId="0" applyNumberFormat="1" applyFont="1" applyFill="1" applyBorder="1">
      <alignment vertical="center"/>
    </xf>
    <xf numFmtId="0" fontId="0" fillId="13" borderId="37" xfId="0" applyFont="1" applyFill="1" applyBorder="1">
      <alignment vertical="center"/>
    </xf>
    <xf numFmtId="0" fontId="0" fillId="13" borderId="38" xfId="0" applyFont="1" applyFill="1" applyBorder="1">
      <alignment vertical="center"/>
    </xf>
    <xf numFmtId="180" fontId="0" fillId="13" borderId="38" xfId="0" applyNumberFormat="1" applyFont="1" applyFill="1" applyBorder="1">
      <alignment vertical="center"/>
    </xf>
    <xf numFmtId="0" fontId="0" fillId="13" borderId="36" xfId="0" applyFont="1" applyFill="1" applyBorder="1" applyAlignment="1">
      <alignment horizontal="center" vertical="center"/>
    </xf>
    <xf numFmtId="0" fontId="0" fillId="13" borderId="38" xfId="0" applyFont="1" applyFill="1" applyBorder="1" applyAlignment="1">
      <alignment horizontal="center" vertical="center"/>
    </xf>
    <xf numFmtId="0" fontId="0" fillId="13" borderId="36" xfId="0" applyFont="1" applyFill="1" applyBorder="1" applyAlignment="1">
      <alignment horizontal="left" vertical="center"/>
    </xf>
    <xf numFmtId="0" fontId="0" fillId="13" borderId="36" xfId="0" applyFont="1" applyFill="1" applyBorder="1" applyAlignment="1">
      <alignment vertical="center"/>
    </xf>
    <xf numFmtId="0" fontId="0" fillId="13" borderId="38" xfId="0" applyFont="1" applyFill="1" applyBorder="1" applyAlignment="1">
      <alignment vertical="center"/>
    </xf>
    <xf numFmtId="0" fontId="0" fillId="12" borderId="36" xfId="0" applyFont="1" applyFill="1" applyBorder="1" applyAlignment="1">
      <alignment vertical="center"/>
    </xf>
    <xf numFmtId="0" fontId="0" fillId="12" borderId="36" xfId="0" applyFont="1" applyFill="1" applyBorder="1" applyAlignment="1">
      <alignment horizontal="center" vertical="center"/>
    </xf>
    <xf numFmtId="0" fontId="0" fillId="12" borderId="36" xfId="0" applyFont="1" applyFill="1" applyBorder="1" applyAlignment="1">
      <alignment horizontal="left" vertical="center"/>
    </xf>
    <xf numFmtId="0" fontId="0" fillId="14" borderId="35" xfId="0" applyFont="1" applyFill="1" applyBorder="1">
      <alignment vertical="center"/>
    </xf>
    <xf numFmtId="0" fontId="0" fillId="14" borderId="36" xfId="0" applyFont="1" applyFill="1" applyBorder="1">
      <alignment vertical="center"/>
    </xf>
    <xf numFmtId="0" fontId="0" fillId="14" borderId="36" xfId="0" applyFont="1" applyFill="1" applyBorder="1" applyAlignment="1">
      <alignment horizontal="center" vertical="center"/>
    </xf>
    <xf numFmtId="180" fontId="0" fillId="14" borderId="36" xfId="0" applyNumberFormat="1" applyFont="1" applyFill="1" applyBorder="1">
      <alignment vertical="center"/>
    </xf>
    <xf numFmtId="0" fontId="0" fillId="14" borderId="36" xfId="0" applyFont="1" applyFill="1" applyBorder="1" applyAlignment="1">
      <alignment vertical="center"/>
    </xf>
    <xf numFmtId="38" fontId="5" fillId="3" borderId="31" xfId="4" applyFont="1" applyFill="1" applyBorder="1">
      <alignment vertical="center"/>
    </xf>
    <xf numFmtId="38" fontId="10" fillId="0" borderId="0" xfId="2" applyNumberFormat="1" applyFont="1" applyFill="1" applyBorder="1">
      <alignment vertical="center"/>
    </xf>
    <xf numFmtId="38" fontId="5" fillId="0" borderId="23" xfId="4" applyFont="1" applyBorder="1">
      <alignment vertical="center"/>
    </xf>
    <xf numFmtId="38" fontId="5" fillId="0" borderId="21" xfId="4" applyFont="1" applyBorder="1">
      <alignment vertical="center"/>
    </xf>
    <xf numFmtId="177" fontId="5" fillId="0" borderId="20" xfId="4" applyNumberFormat="1" applyFont="1" applyBorder="1">
      <alignment vertical="center"/>
    </xf>
    <xf numFmtId="38" fontId="5" fillId="0" borderId="22" xfId="4" applyFont="1" applyBorder="1">
      <alignment vertical="center"/>
    </xf>
    <xf numFmtId="38" fontId="5" fillId="9" borderId="20" xfId="4" applyFont="1" applyFill="1" applyBorder="1">
      <alignment vertical="center"/>
    </xf>
    <xf numFmtId="38" fontId="5" fillId="9" borderId="21" xfId="4" applyFont="1" applyFill="1" applyBorder="1">
      <alignment vertical="center"/>
    </xf>
    <xf numFmtId="38" fontId="5" fillId="9" borderId="22" xfId="4" applyFont="1" applyFill="1" applyBorder="1">
      <alignment vertical="center"/>
    </xf>
    <xf numFmtId="176" fontId="5" fillId="3" borderId="0" xfId="5" applyNumberFormat="1" applyFont="1" applyFill="1">
      <alignment vertical="center"/>
    </xf>
    <xf numFmtId="38" fontId="5" fillId="0" borderId="31" xfId="4" applyFont="1" applyBorder="1">
      <alignment vertical="center"/>
    </xf>
    <xf numFmtId="38" fontId="11" fillId="0" borderId="0" xfId="4" applyFont="1">
      <alignment vertical="center"/>
    </xf>
    <xf numFmtId="38" fontId="5" fillId="9" borderId="0" xfId="5" applyFont="1" applyFill="1">
      <alignment vertical="center"/>
    </xf>
    <xf numFmtId="38" fontId="5" fillId="10" borderId="0" xfId="4" applyFont="1" applyFill="1">
      <alignment vertical="center"/>
    </xf>
    <xf numFmtId="176" fontId="5" fillId="10" borderId="0" xfId="4" applyNumberFormat="1" applyFont="1" applyFill="1">
      <alignment vertical="center"/>
    </xf>
    <xf numFmtId="0" fontId="0" fillId="13" borderId="36" xfId="0" applyFont="1" applyFill="1" applyBorder="1" applyAlignment="1">
      <alignment horizontal="right" vertical="center"/>
    </xf>
    <xf numFmtId="0" fontId="0" fillId="13" borderId="38" xfId="0" applyFont="1" applyFill="1" applyBorder="1" applyAlignment="1">
      <alignment horizontal="right" vertical="center"/>
    </xf>
    <xf numFmtId="38" fontId="5" fillId="15" borderId="11" xfId="4" applyFont="1" applyFill="1" applyBorder="1">
      <alignment vertical="center"/>
    </xf>
    <xf numFmtId="38" fontId="5" fillId="15" borderId="11" xfId="5" applyFont="1" applyFill="1" applyBorder="1">
      <alignment vertical="center"/>
    </xf>
    <xf numFmtId="38" fontId="5" fillId="15" borderId="12" xfId="4" applyFont="1" applyFill="1" applyBorder="1">
      <alignment vertical="center"/>
    </xf>
    <xf numFmtId="38" fontId="5" fillId="15" borderId="13" xfId="4" applyFont="1" applyFill="1" applyBorder="1">
      <alignment vertical="center"/>
    </xf>
    <xf numFmtId="38" fontId="5" fillId="15" borderId="0" xfId="4" applyFont="1" applyFill="1" applyBorder="1">
      <alignment vertical="center"/>
    </xf>
    <xf numFmtId="38" fontId="5" fillId="15" borderId="0" xfId="5" applyFont="1" applyFill="1" applyBorder="1">
      <alignment vertical="center"/>
    </xf>
    <xf numFmtId="38" fontId="5" fillId="15" borderId="14" xfId="4" applyFont="1" applyFill="1" applyBorder="1">
      <alignment vertical="center"/>
    </xf>
    <xf numFmtId="38" fontId="5" fillId="15" borderId="15" xfId="4" applyFont="1" applyFill="1" applyBorder="1">
      <alignment vertical="center"/>
    </xf>
    <xf numFmtId="38" fontId="5" fillId="15" borderId="16" xfId="4" applyFont="1" applyFill="1" applyBorder="1">
      <alignment vertical="center"/>
    </xf>
    <xf numFmtId="38" fontId="5" fillId="15" borderId="17" xfId="4" applyFont="1" applyFill="1" applyBorder="1">
      <alignment vertical="center"/>
    </xf>
    <xf numFmtId="38" fontId="12" fillId="15" borderId="11" xfId="4" applyFont="1" applyFill="1" applyBorder="1">
      <alignment vertical="center"/>
    </xf>
    <xf numFmtId="0" fontId="9" fillId="11" borderId="34" xfId="0" applyFont="1" applyFill="1" applyBorder="1" applyAlignment="1">
      <alignment horizontal="center" vertical="center"/>
    </xf>
    <xf numFmtId="0" fontId="0" fillId="0" borderId="0" xfId="0" applyAlignment="1">
      <alignment horizontal="center" vertical="center"/>
    </xf>
    <xf numFmtId="0" fontId="0" fillId="13" borderId="0" xfId="0" applyFont="1" applyFill="1" applyBorder="1">
      <alignment vertical="center"/>
    </xf>
    <xf numFmtId="0" fontId="0" fillId="14" borderId="36" xfId="0" applyFont="1" applyFill="1" applyBorder="1" applyAlignment="1">
      <alignment horizontal="center" vertical="top" textRotation="45" wrapText="1"/>
    </xf>
    <xf numFmtId="38" fontId="5" fillId="4" borderId="31" xfId="4" applyFont="1" applyFill="1" applyBorder="1">
      <alignment vertical="center"/>
    </xf>
    <xf numFmtId="38" fontId="5" fillId="10" borderId="21" xfId="4" applyFont="1" applyFill="1" applyBorder="1">
      <alignment vertical="center"/>
    </xf>
    <xf numFmtId="38" fontId="5" fillId="3" borderId="21" xfId="4" applyFont="1" applyFill="1" applyBorder="1">
      <alignment vertical="center"/>
    </xf>
    <xf numFmtId="38" fontId="2" fillId="2" borderId="9" xfId="2" applyNumberFormat="1" applyBorder="1">
      <alignment vertical="center"/>
    </xf>
    <xf numFmtId="38" fontId="2" fillId="2" borderId="8" xfId="2" applyNumberFormat="1" applyBorder="1">
      <alignment vertical="center"/>
    </xf>
    <xf numFmtId="38" fontId="2" fillId="2" borderId="7" xfId="2" applyNumberFormat="1" applyBorder="1">
      <alignment vertical="center"/>
    </xf>
    <xf numFmtId="38" fontId="2" fillId="2" borderId="6" xfId="2" applyNumberFormat="1" applyBorder="1">
      <alignment vertical="center"/>
    </xf>
    <xf numFmtId="38" fontId="2" fillId="2" borderId="5" xfId="2" applyNumberFormat="1" applyBorder="1">
      <alignment vertical="center"/>
    </xf>
    <xf numFmtId="38" fontId="2" fillId="2" borderId="4" xfId="2" applyNumberFormat="1" applyBorder="1">
      <alignment vertical="center"/>
    </xf>
    <xf numFmtId="38" fontId="2" fillId="2" borderId="3" xfId="2" applyNumberFormat="1" applyBorder="1">
      <alignment vertical="center"/>
    </xf>
    <xf numFmtId="38" fontId="2" fillId="2" borderId="2" xfId="2" applyNumberFormat="1" applyBorder="1">
      <alignment vertical="center"/>
    </xf>
    <xf numFmtId="38" fontId="5" fillId="6" borderId="17" xfId="4" applyFont="1" applyFill="1" applyBorder="1">
      <alignment vertical="center"/>
    </xf>
    <xf numFmtId="38" fontId="5" fillId="6" borderId="16" xfId="4" applyFont="1" applyFill="1" applyBorder="1">
      <alignment vertical="center"/>
    </xf>
    <xf numFmtId="38" fontId="5" fillId="6" borderId="15" xfId="4" applyFont="1" applyFill="1" applyBorder="1">
      <alignment vertical="center"/>
    </xf>
    <xf numFmtId="38" fontId="5" fillId="6" borderId="14" xfId="4" applyFont="1" applyFill="1" applyBorder="1">
      <alignment vertical="center"/>
    </xf>
    <xf numFmtId="38" fontId="5" fillId="7" borderId="31" xfId="4" applyFont="1" applyFill="1" applyBorder="1">
      <alignment vertical="center"/>
    </xf>
    <xf numFmtId="38" fontId="5" fillId="6" borderId="13" xfId="4" applyFont="1" applyFill="1" applyBorder="1">
      <alignment vertical="center"/>
    </xf>
    <xf numFmtId="38" fontId="5" fillId="6" borderId="12" xfId="4" applyFont="1" applyFill="1" applyBorder="1">
      <alignment vertical="center"/>
    </xf>
    <xf numFmtId="38" fontId="5" fillId="6" borderId="11" xfId="4" applyFont="1" applyFill="1" applyBorder="1">
      <alignment vertical="center"/>
    </xf>
    <xf numFmtId="38" fontId="6" fillId="6" borderId="11" xfId="4" applyFont="1" applyFill="1" applyBorder="1">
      <alignment vertical="center"/>
    </xf>
    <xf numFmtId="38" fontId="5" fillId="6" borderId="10" xfId="4" applyFont="1" applyFill="1" applyBorder="1">
      <alignment vertical="center"/>
    </xf>
    <xf numFmtId="38" fontId="2" fillId="6" borderId="17" xfId="2" applyNumberFormat="1" applyFill="1" applyBorder="1">
      <alignment vertical="center"/>
    </xf>
    <xf numFmtId="38" fontId="2" fillId="6" borderId="16" xfId="2" applyNumberFormat="1" applyFill="1" applyBorder="1">
      <alignment vertical="center"/>
    </xf>
    <xf numFmtId="38" fontId="2" fillId="6" borderId="16" xfId="5" applyFont="1" applyFill="1" applyBorder="1">
      <alignment vertical="center"/>
    </xf>
    <xf numFmtId="38" fontId="2" fillId="6" borderId="15" xfId="2" applyNumberFormat="1" applyFill="1" applyBorder="1">
      <alignment vertical="center"/>
    </xf>
    <xf numFmtId="38" fontId="2" fillId="6" borderId="14" xfId="2" applyNumberFormat="1" applyFill="1" applyBorder="1">
      <alignment vertical="center"/>
    </xf>
    <xf numFmtId="38" fontId="2" fillId="6" borderId="0" xfId="2" applyNumberFormat="1" applyFill="1" applyBorder="1">
      <alignment vertical="center"/>
    </xf>
    <xf numFmtId="38" fontId="2" fillId="6" borderId="12" xfId="2" applyNumberFormat="1" applyFill="1" applyBorder="1">
      <alignment vertical="center"/>
    </xf>
    <xf numFmtId="38" fontId="2" fillId="6" borderId="11" xfId="2" applyNumberFormat="1" applyFill="1" applyBorder="1">
      <alignment vertical="center"/>
    </xf>
    <xf numFmtId="38" fontId="2" fillId="6" borderId="10" xfId="2" applyNumberFormat="1" applyFill="1" applyBorder="1">
      <alignment vertical="center"/>
    </xf>
    <xf numFmtId="179" fontId="5" fillId="3" borderId="0" xfId="4" applyNumberFormat="1" applyFont="1" applyFill="1">
      <alignment vertical="center"/>
    </xf>
    <xf numFmtId="38" fontId="5" fillId="0" borderId="16" xfId="5" applyFont="1" applyFill="1" applyBorder="1">
      <alignment vertical="center"/>
    </xf>
    <xf numFmtId="38" fontId="5" fillId="5" borderId="13" xfId="4" applyFont="1" applyFill="1" applyBorder="1">
      <alignment vertical="center"/>
    </xf>
    <xf numFmtId="38" fontId="5" fillId="16" borderId="0" xfId="4" applyFont="1" applyFill="1">
      <alignment vertical="center"/>
    </xf>
    <xf numFmtId="179" fontId="5" fillId="9" borderId="0" xfId="4" applyNumberFormat="1" applyFont="1" applyFill="1">
      <alignment vertical="center"/>
    </xf>
    <xf numFmtId="38" fontId="5" fillId="10" borderId="10" xfId="4" applyFont="1" applyFill="1" applyBorder="1">
      <alignment vertical="center"/>
    </xf>
    <xf numFmtId="38" fontId="5" fillId="10" borderId="19" xfId="4" applyFont="1" applyFill="1" applyBorder="1">
      <alignment vertical="center"/>
    </xf>
    <xf numFmtId="38" fontId="5" fillId="10" borderId="12" xfId="4" applyFont="1" applyFill="1" applyBorder="1">
      <alignment vertical="center"/>
    </xf>
    <xf numFmtId="38" fontId="5" fillId="10" borderId="18" xfId="4" applyFont="1" applyFill="1" applyBorder="1">
      <alignment vertical="center"/>
    </xf>
    <xf numFmtId="38" fontId="5" fillId="10" borderId="17" xfId="4" applyFont="1" applyFill="1" applyBorder="1">
      <alignment vertical="center"/>
    </xf>
    <xf numFmtId="40" fontId="5" fillId="3" borderId="0" xfId="4" applyNumberFormat="1" applyFont="1" applyFill="1">
      <alignment vertical="center"/>
    </xf>
    <xf numFmtId="177" fontId="5" fillId="3" borderId="20" xfId="4" applyNumberFormat="1" applyFont="1" applyFill="1" applyBorder="1" applyAlignment="1">
      <alignment horizontal="center" vertical="center"/>
    </xf>
    <xf numFmtId="177" fontId="5" fillId="3" borderId="21" xfId="4" applyNumberFormat="1" applyFont="1" applyFill="1" applyBorder="1" applyAlignment="1">
      <alignment horizontal="center" vertical="center"/>
    </xf>
    <xf numFmtId="177" fontId="5" fillId="3" borderId="22" xfId="4" applyNumberFormat="1" applyFont="1" applyFill="1" applyBorder="1" applyAlignment="1">
      <alignment horizontal="center" vertical="center"/>
    </xf>
    <xf numFmtId="177" fontId="5" fillId="0" borderId="20" xfId="4" applyNumberFormat="1" applyFont="1" applyBorder="1" applyAlignment="1">
      <alignment horizontal="center" vertical="center"/>
    </xf>
    <xf numFmtId="177" fontId="5" fillId="0" borderId="21" xfId="4" applyNumberFormat="1" applyFont="1" applyBorder="1" applyAlignment="1">
      <alignment horizontal="center" vertical="center"/>
    </xf>
    <xf numFmtId="177" fontId="5" fillId="0" borderId="22" xfId="4" applyNumberFormat="1" applyFont="1" applyBorder="1" applyAlignment="1">
      <alignment horizontal="center" vertical="center"/>
    </xf>
    <xf numFmtId="38" fontId="5" fillId="0" borderId="0" xfId="4" applyFont="1" applyAlignment="1">
      <alignment horizontal="center" vertical="center"/>
    </xf>
  </cellXfs>
  <cellStyles count="6">
    <cellStyle name="パーセント" xfId="1" builtinId="5"/>
    <cellStyle name="桁区切り" xfId="5" builtinId="6"/>
    <cellStyle name="桁区切り 2" xfId="4"/>
    <cellStyle name="出力" xfId="2" builtinId="21"/>
    <cellStyle name="出力 2" xfId="3"/>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topLeftCell="A19" workbookViewId="0">
      <selection activeCell="O23" sqref="O23"/>
    </sheetView>
  </sheetViews>
  <sheetFormatPr defaultRowHeight="16.2" x14ac:dyDescent="0.4"/>
  <cols>
    <col min="1" max="1" width="8.44140625" customWidth="1"/>
    <col min="2" max="2" width="1.88671875" customWidth="1"/>
    <col min="3" max="3" width="10.44140625" customWidth="1"/>
    <col min="4" max="4" width="25.109375" customWidth="1"/>
    <col min="5" max="5" width="7.88671875" customWidth="1"/>
    <col min="6" max="6" width="3.6640625" style="201" customWidth="1"/>
    <col min="7" max="11" width="3.33203125" customWidth="1"/>
    <col min="12" max="12" width="12.33203125" customWidth="1"/>
  </cols>
  <sheetData>
    <row r="1" spans="1:12" x14ac:dyDescent="0.4">
      <c r="A1" s="151" t="s">
        <v>295</v>
      </c>
      <c r="B1" s="152" t="s">
        <v>294</v>
      </c>
      <c r="C1" s="152"/>
      <c r="D1" s="152" t="s">
        <v>293</v>
      </c>
      <c r="E1" s="152"/>
      <c r="F1" s="200"/>
      <c r="G1" s="152" t="s">
        <v>292</v>
      </c>
      <c r="H1" s="152"/>
      <c r="I1" s="152"/>
      <c r="J1" s="152"/>
      <c r="K1" s="152"/>
      <c r="L1" s="152"/>
    </row>
    <row r="2" spans="1:12" ht="88.2" x14ac:dyDescent="0.4">
      <c r="A2" s="167" t="s">
        <v>286</v>
      </c>
      <c r="B2" s="168"/>
      <c r="C2" s="168"/>
      <c r="D2" s="168"/>
      <c r="E2" s="169" t="s">
        <v>291</v>
      </c>
      <c r="F2" s="203" t="s">
        <v>721</v>
      </c>
      <c r="G2" s="203" t="s">
        <v>290</v>
      </c>
      <c r="H2" s="203" t="s">
        <v>289</v>
      </c>
      <c r="I2" s="203" t="s">
        <v>288</v>
      </c>
      <c r="J2" s="203" t="s">
        <v>287</v>
      </c>
      <c r="K2" s="203" t="s">
        <v>301</v>
      </c>
      <c r="L2" s="203" t="s">
        <v>588</v>
      </c>
    </row>
    <row r="3" spans="1:12" x14ac:dyDescent="0.4">
      <c r="A3" s="153" t="s">
        <v>325</v>
      </c>
      <c r="B3" s="154" t="s">
        <v>285</v>
      </c>
      <c r="C3" s="155">
        <v>2</v>
      </c>
      <c r="D3" s="154" t="s">
        <v>284</v>
      </c>
      <c r="E3" s="164"/>
      <c r="F3" s="165"/>
      <c r="G3" s="165"/>
      <c r="H3" s="165"/>
      <c r="I3" s="165"/>
      <c r="J3" s="165"/>
      <c r="K3" s="165"/>
      <c r="L3" s="166"/>
    </row>
    <row r="4" spans="1:12" x14ac:dyDescent="0.4">
      <c r="A4" s="153" t="s">
        <v>283</v>
      </c>
      <c r="B4" s="154" t="s">
        <v>324</v>
      </c>
      <c r="C4" s="155">
        <v>4</v>
      </c>
      <c r="D4" s="154" t="s">
        <v>282</v>
      </c>
      <c r="E4" s="164"/>
      <c r="F4" s="165"/>
      <c r="G4" s="165"/>
      <c r="H4" s="165"/>
      <c r="I4" s="165"/>
      <c r="J4" s="165"/>
      <c r="K4" s="165"/>
      <c r="L4" s="166"/>
    </row>
    <row r="5" spans="1:12" x14ac:dyDescent="0.4">
      <c r="A5" s="153" t="s">
        <v>281</v>
      </c>
      <c r="B5" s="154" t="s">
        <v>244</v>
      </c>
      <c r="C5" s="155">
        <v>4</v>
      </c>
      <c r="D5" s="154" t="s">
        <v>280</v>
      </c>
      <c r="E5" s="164"/>
      <c r="F5" s="165"/>
      <c r="G5" s="165"/>
      <c r="H5" s="165"/>
      <c r="I5" s="165"/>
      <c r="J5" s="165"/>
      <c r="K5" s="165"/>
      <c r="L5" s="166"/>
    </row>
    <row r="6" spans="1:12" x14ac:dyDescent="0.4">
      <c r="A6" s="153" t="s">
        <v>279</v>
      </c>
      <c r="B6" s="154" t="s">
        <v>285</v>
      </c>
      <c r="C6" s="155">
        <v>2</v>
      </c>
      <c r="D6" s="154" t="s">
        <v>278</v>
      </c>
      <c r="E6" s="162" t="s">
        <v>277</v>
      </c>
      <c r="F6" s="159" t="s">
        <v>722</v>
      </c>
      <c r="G6" s="159" t="s">
        <v>275</v>
      </c>
      <c r="H6" s="159" t="s">
        <v>275</v>
      </c>
      <c r="I6" s="159" t="s">
        <v>275</v>
      </c>
      <c r="J6" s="159" t="s">
        <v>275</v>
      </c>
      <c r="K6" s="159"/>
      <c r="L6" s="161"/>
    </row>
    <row r="7" spans="1:12" x14ac:dyDescent="0.4">
      <c r="A7" s="153"/>
      <c r="B7" s="154"/>
      <c r="C7" s="155"/>
      <c r="D7" s="154"/>
      <c r="E7" s="162" t="s">
        <v>276</v>
      </c>
      <c r="F7" s="159"/>
      <c r="G7" s="159" t="s">
        <v>275</v>
      </c>
      <c r="H7" s="159" t="s">
        <v>275</v>
      </c>
      <c r="I7" s="159" t="s">
        <v>275</v>
      </c>
      <c r="J7" s="159" t="s">
        <v>275</v>
      </c>
      <c r="K7" s="159"/>
      <c r="L7" s="161" t="s">
        <v>717</v>
      </c>
    </row>
    <row r="8" spans="1:12" x14ac:dyDescent="0.4">
      <c r="A8" s="153" t="s">
        <v>274</v>
      </c>
      <c r="B8" s="154" t="s">
        <v>285</v>
      </c>
      <c r="C8" s="155">
        <v>2</v>
      </c>
      <c r="D8" s="154" t="s">
        <v>273</v>
      </c>
      <c r="E8" s="162" t="s">
        <v>272</v>
      </c>
      <c r="F8" s="159" t="s">
        <v>722</v>
      </c>
      <c r="G8" s="159" t="s">
        <v>275</v>
      </c>
      <c r="H8" s="159" t="s">
        <v>297</v>
      </c>
      <c r="I8" s="159" t="s">
        <v>275</v>
      </c>
      <c r="J8" s="159" t="s">
        <v>275</v>
      </c>
      <c r="K8" s="159"/>
      <c r="L8" s="161" t="s">
        <v>296</v>
      </c>
    </row>
    <row r="9" spans="1:12" x14ac:dyDescent="0.4">
      <c r="A9" s="153"/>
      <c r="B9" s="154"/>
      <c r="C9" s="155"/>
      <c r="D9" s="154"/>
      <c r="E9" s="162" t="s">
        <v>271</v>
      </c>
      <c r="F9" s="159"/>
      <c r="G9" s="159" t="s">
        <v>275</v>
      </c>
      <c r="H9" s="159" t="s">
        <v>718</v>
      </c>
      <c r="I9" s="159" t="s">
        <v>275</v>
      </c>
      <c r="J9" s="159" t="s">
        <v>719</v>
      </c>
      <c r="K9" s="159" t="s">
        <v>275</v>
      </c>
      <c r="L9" s="161"/>
    </row>
    <row r="10" spans="1:12" x14ac:dyDescent="0.4">
      <c r="A10" s="153" t="s">
        <v>270</v>
      </c>
      <c r="B10" s="154" t="s">
        <v>232</v>
      </c>
      <c r="C10" s="155">
        <v>1</v>
      </c>
      <c r="D10" s="154" t="s">
        <v>269</v>
      </c>
      <c r="E10" s="162" t="s">
        <v>723</v>
      </c>
      <c r="F10" s="159"/>
      <c r="G10" s="159" t="s">
        <v>275</v>
      </c>
      <c r="H10" s="159"/>
      <c r="I10" s="159" t="s">
        <v>275</v>
      </c>
      <c r="J10" s="159" t="s">
        <v>275</v>
      </c>
      <c r="K10" s="159"/>
      <c r="L10" s="161" t="s">
        <v>298</v>
      </c>
    </row>
    <row r="11" spans="1:12" x14ac:dyDescent="0.4">
      <c r="A11" s="153" t="s">
        <v>268</v>
      </c>
      <c r="B11" s="154" t="s">
        <v>728</v>
      </c>
      <c r="C11" s="155">
        <v>3</v>
      </c>
      <c r="D11" s="154" t="s">
        <v>267</v>
      </c>
      <c r="E11" s="162" t="s">
        <v>266</v>
      </c>
      <c r="F11" s="159" t="s">
        <v>722</v>
      </c>
      <c r="G11" s="159" t="s">
        <v>275</v>
      </c>
      <c r="H11" s="159"/>
      <c r="I11" s="159"/>
      <c r="J11" s="159"/>
      <c r="K11" s="159"/>
      <c r="L11" s="161" t="s">
        <v>299</v>
      </c>
    </row>
    <row r="12" spans="1:12" x14ac:dyDescent="0.4">
      <c r="A12" s="153" t="s">
        <v>265</v>
      </c>
      <c r="B12" s="154" t="s">
        <v>285</v>
      </c>
      <c r="C12" s="155">
        <v>2</v>
      </c>
      <c r="D12" s="154" t="s">
        <v>264</v>
      </c>
      <c r="E12" s="162" t="s">
        <v>323</v>
      </c>
      <c r="F12" s="159" t="s">
        <v>722</v>
      </c>
      <c r="G12" s="159"/>
      <c r="H12" s="159"/>
      <c r="I12" s="159"/>
      <c r="J12" s="159"/>
      <c r="K12" s="159" t="s">
        <v>275</v>
      </c>
      <c r="L12" s="161" t="s">
        <v>300</v>
      </c>
    </row>
    <row r="13" spans="1:12" x14ac:dyDescent="0.4">
      <c r="A13" s="153" t="s">
        <v>263</v>
      </c>
      <c r="B13" s="154" t="s">
        <v>232</v>
      </c>
      <c r="C13" s="155">
        <v>1</v>
      </c>
      <c r="D13" s="154" t="s">
        <v>262</v>
      </c>
      <c r="E13" s="164"/>
      <c r="F13" s="165"/>
      <c r="G13" s="165"/>
      <c r="H13" s="165"/>
      <c r="I13" s="165"/>
      <c r="J13" s="165"/>
      <c r="K13" s="165"/>
      <c r="L13" s="166"/>
    </row>
    <row r="14" spans="1:12" ht="72.75" customHeight="1" x14ac:dyDescent="0.4">
      <c r="A14" s="167" t="s">
        <v>261</v>
      </c>
      <c r="B14" s="168"/>
      <c r="C14" s="170"/>
      <c r="D14" s="168"/>
      <c r="E14" s="171"/>
      <c r="F14" s="169"/>
      <c r="G14" s="203" t="s">
        <v>56</v>
      </c>
      <c r="H14" s="203" t="s">
        <v>79</v>
      </c>
      <c r="I14" s="203" t="s">
        <v>321</v>
      </c>
      <c r="J14" s="203" t="s">
        <v>320</v>
      </c>
      <c r="K14" s="203" t="s">
        <v>319</v>
      </c>
      <c r="L14" s="203" t="s">
        <v>322</v>
      </c>
    </row>
    <row r="15" spans="1:12" x14ac:dyDescent="0.4">
      <c r="A15" s="153" t="s">
        <v>318</v>
      </c>
      <c r="B15" s="154" t="s">
        <v>244</v>
      </c>
      <c r="C15" s="155">
        <v>4</v>
      </c>
      <c r="D15" s="154" t="s">
        <v>260</v>
      </c>
      <c r="E15" s="164"/>
      <c r="F15" s="165"/>
      <c r="G15" s="165"/>
      <c r="H15" s="165"/>
      <c r="I15" s="165"/>
      <c r="J15" s="165"/>
      <c r="K15" s="165"/>
      <c r="L15" s="165"/>
    </row>
    <row r="16" spans="1:12" x14ac:dyDescent="0.4">
      <c r="A16" s="153" t="s">
        <v>259</v>
      </c>
      <c r="B16" s="154" t="s">
        <v>244</v>
      </c>
      <c r="C16" s="155">
        <v>4</v>
      </c>
      <c r="D16" s="154" t="s">
        <v>258</v>
      </c>
      <c r="E16" s="164"/>
      <c r="F16" s="165"/>
      <c r="G16" s="165"/>
      <c r="H16" s="165"/>
      <c r="I16" s="165"/>
      <c r="J16" s="165"/>
      <c r="K16" s="165"/>
      <c r="L16" s="164"/>
    </row>
    <row r="17" spans="1:12" x14ac:dyDescent="0.4">
      <c r="A17" s="153" t="s">
        <v>257</v>
      </c>
      <c r="B17" s="154" t="s">
        <v>244</v>
      </c>
      <c r="C17" s="155">
        <v>4</v>
      </c>
      <c r="D17" s="154" t="s">
        <v>256</v>
      </c>
      <c r="E17" s="162" t="s">
        <v>255</v>
      </c>
      <c r="F17" s="159" t="s">
        <v>722</v>
      </c>
      <c r="G17" s="159" t="s">
        <v>275</v>
      </c>
      <c r="H17" s="159" t="s">
        <v>275</v>
      </c>
      <c r="I17" s="159"/>
      <c r="J17" s="159"/>
      <c r="K17" s="159"/>
      <c r="L17" s="162" t="s">
        <v>317</v>
      </c>
    </row>
    <row r="18" spans="1:12" x14ac:dyDescent="0.4">
      <c r="A18" s="153"/>
      <c r="B18" s="154"/>
      <c r="C18" s="155"/>
      <c r="D18" s="154"/>
      <c r="E18" s="162" t="s">
        <v>254</v>
      </c>
      <c r="F18" s="159"/>
      <c r="G18" s="159" t="s">
        <v>275</v>
      </c>
      <c r="H18" s="159" t="s">
        <v>275</v>
      </c>
      <c r="I18" s="159"/>
      <c r="J18" s="159"/>
      <c r="K18" s="159"/>
      <c r="L18" s="162" t="s">
        <v>99</v>
      </c>
    </row>
    <row r="19" spans="1:12" x14ac:dyDescent="0.4">
      <c r="A19" s="153"/>
      <c r="B19" s="154"/>
      <c r="C19" s="155"/>
      <c r="D19" s="154"/>
      <c r="E19" s="162" t="s">
        <v>253</v>
      </c>
      <c r="F19" s="159"/>
      <c r="G19" s="159" t="s">
        <v>275</v>
      </c>
      <c r="H19" s="159" t="s">
        <v>275</v>
      </c>
      <c r="I19" s="159"/>
      <c r="J19" s="159"/>
      <c r="K19" s="159" t="s">
        <v>275</v>
      </c>
      <c r="L19" s="162"/>
    </row>
    <row r="20" spans="1:12" x14ac:dyDescent="0.4">
      <c r="A20" s="153" t="s">
        <v>251</v>
      </c>
      <c r="B20" s="154" t="s">
        <v>232</v>
      </c>
      <c r="C20" s="155">
        <v>1</v>
      </c>
      <c r="D20" s="154" t="s">
        <v>250</v>
      </c>
      <c r="E20" s="162" t="s">
        <v>252</v>
      </c>
      <c r="F20" s="159" t="s">
        <v>722</v>
      </c>
      <c r="G20" s="159" t="s">
        <v>275</v>
      </c>
      <c r="H20" s="159"/>
      <c r="I20" s="159"/>
      <c r="J20" s="159"/>
      <c r="K20" s="159"/>
      <c r="L20" s="162" t="s">
        <v>316</v>
      </c>
    </row>
    <row r="21" spans="1:12" x14ac:dyDescent="0.4">
      <c r="A21" s="153" t="s">
        <v>249</v>
      </c>
      <c r="B21" s="154" t="s">
        <v>239</v>
      </c>
      <c r="C21" s="155">
        <v>3</v>
      </c>
      <c r="D21" s="154" t="s">
        <v>248</v>
      </c>
      <c r="E21" s="164"/>
      <c r="F21" s="165"/>
      <c r="G21" s="165"/>
      <c r="H21" s="165"/>
      <c r="I21" s="165"/>
      <c r="J21" s="165"/>
      <c r="K21" s="165"/>
      <c r="L21" s="164"/>
    </row>
    <row r="22" spans="1:12" x14ac:dyDescent="0.4">
      <c r="A22" s="153" t="s">
        <v>247</v>
      </c>
      <c r="B22" s="154" t="s">
        <v>239</v>
      </c>
      <c r="C22" s="155">
        <v>3</v>
      </c>
      <c r="D22" s="154" t="s">
        <v>246</v>
      </c>
      <c r="E22" s="164"/>
      <c r="F22" s="165"/>
      <c r="G22" s="165"/>
      <c r="H22" s="165"/>
      <c r="I22" s="165"/>
      <c r="J22" s="165"/>
      <c r="K22" s="165"/>
      <c r="L22" s="164"/>
    </row>
    <row r="23" spans="1:12" x14ac:dyDescent="0.4">
      <c r="A23" s="153" t="s">
        <v>245</v>
      </c>
      <c r="B23" s="154" t="s">
        <v>244</v>
      </c>
      <c r="C23" s="155">
        <v>4</v>
      </c>
      <c r="D23" s="154" t="s">
        <v>243</v>
      </c>
      <c r="E23" s="162" t="s">
        <v>242</v>
      </c>
      <c r="F23" s="159" t="s">
        <v>722</v>
      </c>
      <c r="G23" s="159" t="s">
        <v>275</v>
      </c>
      <c r="H23" s="159" t="s">
        <v>275</v>
      </c>
      <c r="I23" s="159" t="s">
        <v>275</v>
      </c>
      <c r="J23" s="159" t="s">
        <v>275</v>
      </c>
      <c r="K23" s="159"/>
      <c r="L23" s="162" t="s">
        <v>99</v>
      </c>
    </row>
    <row r="24" spans="1:12" x14ac:dyDescent="0.4">
      <c r="A24" s="153"/>
      <c r="B24" s="154"/>
      <c r="C24" s="155"/>
      <c r="D24" s="154"/>
      <c r="E24" s="162" t="s">
        <v>241</v>
      </c>
      <c r="F24" s="159" t="s">
        <v>722</v>
      </c>
      <c r="G24" s="159" t="s">
        <v>275</v>
      </c>
      <c r="H24" s="159" t="s">
        <v>275</v>
      </c>
      <c r="I24" s="159" t="s">
        <v>275</v>
      </c>
      <c r="J24" s="159" t="s">
        <v>718</v>
      </c>
      <c r="K24" s="159"/>
      <c r="L24" s="162" t="s">
        <v>315</v>
      </c>
    </row>
    <row r="25" spans="1:12" x14ac:dyDescent="0.4">
      <c r="A25" s="153" t="s">
        <v>240</v>
      </c>
      <c r="B25" s="154" t="s">
        <v>239</v>
      </c>
      <c r="C25" s="155">
        <v>3</v>
      </c>
      <c r="D25" s="154" t="s">
        <v>238</v>
      </c>
      <c r="E25" s="162" t="s">
        <v>237</v>
      </c>
      <c r="F25" s="159" t="s">
        <v>722</v>
      </c>
      <c r="G25" s="159" t="s">
        <v>275</v>
      </c>
      <c r="H25" s="159" t="s">
        <v>275</v>
      </c>
      <c r="I25" s="159" t="s">
        <v>275</v>
      </c>
      <c r="J25" s="159"/>
      <c r="K25" s="159"/>
      <c r="L25" s="162"/>
    </row>
    <row r="26" spans="1:12" x14ac:dyDescent="0.4">
      <c r="A26" s="153"/>
      <c r="B26" s="154"/>
      <c r="C26" s="155"/>
      <c r="D26" s="154"/>
      <c r="E26" s="162" t="s">
        <v>236</v>
      </c>
      <c r="F26" s="159"/>
      <c r="G26" s="159" t="s">
        <v>275</v>
      </c>
      <c r="H26" s="159" t="s">
        <v>275</v>
      </c>
      <c r="I26" s="159" t="s">
        <v>275</v>
      </c>
      <c r="J26" s="159"/>
      <c r="K26" s="159"/>
      <c r="L26" s="162" t="s">
        <v>720</v>
      </c>
    </row>
    <row r="27" spans="1:12" x14ac:dyDescent="0.4">
      <c r="A27" s="153" t="s">
        <v>235</v>
      </c>
      <c r="B27" s="154" t="s">
        <v>232</v>
      </c>
      <c r="C27" s="155">
        <v>1</v>
      </c>
      <c r="D27" s="154" t="s">
        <v>234</v>
      </c>
      <c r="E27" s="162" t="s">
        <v>724</v>
      </c>
      <c r="F27" s="159"/>
      <c r="G27" s="159"/>
      <c r="H27" s="159"/>
      <c r="I27" s="159"/>
      <c r="J27" s="159"/>
      <c r="K27" s="159"/>
      <c r="L27" s="162"/>
    </row>
    <row r="28" spans="1:12" x14ac:dyDescent="0.4">
      <c r="A28" s="153" t="s">
        <v>233</v>
      </c>
      <c r="B28" s="154" t="s">
        <v>232</v>
      </c>
      <c r="C28" s="155">
        <v>1</v>
      </c>
      <c r="D28" s="154" t="s">
        <v>231</v>
      </c>
      <c r="E28" s="162" t="s">
        <v>230</v>
      </c>
      <c r="F28" s="159" t="s">
        <v>722</v>
      </c>
      <c r="G28" s="159" t="s">
        <v>275</v>
      </c>
      <c r="H28" s="159" t="s">
        <v>707</v>
      </c>
      <c r="I28" s="159" t="s">
        <v>708</v>
      </c>
      <c r="J28" s="159"/>
      <c r="K28" s="159"/>
      <c r="L28" s="162" t="s">
        <v>709</v>
      </c>
    </row>
    <row r="29" spans="1:12" x14ac:dyDescent="0.4">
      <c r="A29" s="167" t="s">
        <v>229</v>
      </c>
      <c r="B29" s="168"/>
      <c r="C29" s="170"/>
      <c r="D29" s="168"/>
      <c r="E29" s="171"/>
      <c r="F29" s="169"/>
      <c r="G29" s="169"/>
      <c r="H29" s="169"/>
      <c r="I29" s="169"/>
      <c r="J29" s="169"/>
      <c r="K29" s="169"/>
      <c r="L29" s="171"/>
    </row>
    <row r="30" spans="1:12" x14ac:dyDescent="0.4">
      <c r="A30" s="153" t="s">
        <v>314</v>
      </c>
      <c r="B30" s="154" t="s">
        <v>285</v>
      </c>
      <c r="C30" s="155">
        <v>2</v>
      </c>
      <c r="D30" s="154" t="s">
        <v>228</v>
      </c>
      <c r="E30" s="162" t="s">
        <v>227</v>
      </c>
      <c r="F30" s="159"/>
      <c r="G30" s="159"/>
      <c r="H30" s="159"/>
      <c r="I30" s="159"/>
      <c r="J30" s="159"/>
      <c r="K30" s="159"/>
      <c r="L30" s="187"/>
    </row>
    <row r="31" spans="1:12" x14ac:dyDescent="0.4">
      <c r="A31" s="156" t="s">
        <v>313</v>
      </c>
      <c r="B31" s="157" t="s">
        <v>312</v>
      </c>
      <c r="C31" s="158">
        <v>2</v>
      </c>
      <c r="D31" s="157" t="s">
        <v>226</v>
      </c>
      <c r="E31" s="163" t="s">
        <v>225</v>
      </c>
      <c r="F31" s="160"/>
      <c r="G31" s="160"/>
      <c r="H31" s="160"/>
      <c r="I31" s="160"/>
      <c r="J31" s="160"/>
      <c r="K31" s="160"/>
      <c r="L31" s="188"/>
    </row>
    <row r="32" spans="1:12" x14ac:dyDescent="0.4">
      <c r="D32" t="s">
        <v>726</v>
      </c>
    </row>
    <row r="33" spans="4:4" x14ac:dyDescent="0.4">
      <c r="D33" s="202" t="s">
        <v>725</v>
      </c>
    </row>
    <row r="34" spans="4:4" x14ac:dyDescent="0.4">
      <c r="D34" s="202" t="s">
        <v>727</v>
      </c>
    </row>
  </sheetData>
  <phoneticPr fontId="3"/>
  <conditionalFormatting sqref="C30:C31 C3:C13 C15:C28">
    <cfRule type="dataBar" priority="1">
      <dataBar>
        <cfvo type="min"/>
        <cfvo type="max"/>
        <color rgb="FF638EC6"/>
      </dataBar>
      <extLst>
        <ext xmlns:x14="http://schemas.microsoft.com/office/spreadsheetml/2009/9/main" uri="{B025F937-C7B1-47D3-B67F-A62EFF666E3E}">
          <x14:id>{19E26C8D-3878-4B78-9A05-B0DE8037A68B}</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19E26C8D-3878-4B78-9A05-B0DE8037A68B}">
            <x14:dataBar minLength="0" maxLength="100" border="1" negativeBarBorderColorSameAsPositive="0">
              <x14:cfvo type="autoMin"/>
              <x14:cfvo type="autoMax"/>
              <x14:borderColor rgb="FF638EC6"/>
              <x14:negativeFillColor rgb="FFFF0000"/>
              <x14:negativeBorderColor rgb="FFFF0000"/>
              <x14:axisColor rgb="FF000000"/>
            </x14:dataBar>
          </x14:cfRule>
          <xm:sqref>C30:C31 C3:C13 C15:C28</xm:sqref>
        </x14:conditionalFormatting>
      </x14:conditionalFormatting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34"/>
  <sheetViews>
    <sheetView zoomScale="90" zoomScaleNormal="90" workbookViewId="0">
      <selection activeCell="I27" sqref="I27"/>
    </sheetView>
  </sheetViews>
  <sheetFormatPr defaultColWidth="12" defaultRowHeight="16.2" x14ac:dyDescent="0.4"/>
  <cols>
    <col min="1" max="1" width="12.109375" style="4" customWidth="1"/>
    <col min="2" max="5" width="13.109375" style="4" customWidth="1"/>
    <col min="6" max="7" width="12.6640625" style="4" customWidth="1"/>
    <col min="8" max="10" width="13.109375" style="4" customWidth="1"/>
    <col min="11" max="11" width="12" style="4"/>
    <col min="12" max="12" width="11.88671875" style="4" customWidth="1"/>
    <col min="13" max="16384" width="12" style="4"/>
  </cols>
  <sheetData>
    <row r="1" spans="1:17" x14ac:dyDescent="0.4">
      <c r="A1" s="1" t="s">
        <v>302</v>
      </c>
      <c r="B1" s="2"/>
      <c r="C1" s="2"/>
      <c r="D1" s="2"/>
      <c r="E1" s="2"/>
      <c r="F1" s="2"/>
      <c r="G1" s="2"/>
      <c r="H1" s="2"/>
      <c r="I1" s="2"/>
      <c r="J1" s="2"/>
      <c r="K1" s="2"/>
      <c r="L1" s="2"/>
      <c r="M1" s="2"/>
      <c r="N1" s="2"/>
      <c r="O1" s="2"/>
      <c r="P1" s="2"/>
      <c r="Q1" s="3"/>
    </row>
    <row r="2" spans="1:17" x14ac:dyDescent="0.4">
      <c r="A2" s="5" t="s">
        <v>567</v>
      </c>
      <c r="B2" s="6"/>
      <c r="C2" s="6"/>
      <c r="D2" s="6"/>
      <c r="E2" s="6"/>
      <c r="F2" s="6"/>
      <c r="G2" s="6"/>
      <c r="H2" s="6"/>
      <c r="I2" s="6"/>
      <c r="J2" s="6"/>
      <c r="K2" s="6"/>
      <c r="L2" s="6"/>
      <c r="M2" s="6"/>
      <c r="N2" s="6"/>
      <c r="O2" s="6"/>
      <c r="P2" s="6"/>
      <c r="Q2" s="7"/>
    </row>
    <row r="3" spans="1:17" x14ac:dyDescent="0.4">
      <c r="A3" s="8" t="s">
        <v>566</v>
      </c>
      <c r="B3" s="9"/>
      <c r="C3" s="9"/>
      <c r="D3" s="9"/>
      <c r="E3" s="9"/>
      <c r="F3" s="9"/>
      <c r="G3" s="9"/>
      <c r="H3" s="9"/>
      <c r="I3" s="9"/>
      <c r="J3" s="9"/>
      <c r="K3" s="9"/>
      <c r="L3" s="9"/>
      <c r="M3" s="9"/>
      <c r="N3" s="9"/>
      <c r="O3" s="9"/>
      <c r="P3" s="9"/>
      <c r="Q3" s="10"/>
    </row>
    <row r="4" spans="1:17" s="12" customFormat="1" x14ac:dyDescent="0.4">
      <c r="A4" s="11"/>
      <c r="B4" s="11"/>
      <c r="C4" s="11"/>
      <c r="D4" s="11"/>
      <c r="E4" s="11"/>
      <c r="F4" s="11"/>
      <c r="G4" s="11"/>
      <c r="H4" s="11"/>
      <c r="I4" s="11"/>
      <c r="J4" s="11"/>
      <c r="K4" s="11"/>
      <c r="L4" s="11"/>
      <c r="M4" s="11"/>
      <c r="N4" s="11"/>
      <c r="O4" s="11"/>
      <c r="P4" s="11"/>
      <c r="Q4" s="11"/>
    </row>
    <row r="5" spans="1:17" ht="18" customHeight="1" x14ac:dyDescent="0.4">
      <c r="A5" s="13" t="s">
        <v>0</v>
      </c>
      <c r="B5" s="14"/>
      <c r="C5" s="14"/>
      <c r="D5" s="14"/>
      <c r="E5" s="14"/>
      <c r="F5" s="14"/>
      <c r="G5" s="14"/>
      <c r="H5" s="14"/>
      <c r="I5" s="14"/>
      <c r="J5" s="14"/>
      <c r="K5" s="14"/>
      <c r="L5" s="14"/>
      <c r="M5" s="14"/>
      <c r="N5" s="14"/>
      <c r="O5" s="14"/>
      <c r="P5" s="14"/>
      <c r="Q5" s="15"/>
    </row>
    <row r="6" spans="1:17" x14ac:dyDescent="0.4">
      <c r="A6" s="16" t="s">
        <v>565</v>
      </c>
      <c r="B6" s="17"/>
      <c r="C6" s="17"/>
      <c r="D6" s="17"/>
      <c r="E6" s="17"/>
      <c r="F6" s="17"/>
      <c r="G6" s="17"/>
      <c r="H6" s="17"/>
      <c r="I6" s="17"/>
      <c r="J6" s="17"/>
      <c r="K6" s="17"/>
      <c r="L6" s="17"/>
      <c r="M6" s="17"/>
      <c r="N6" s="17"/>
      <c r="O6" s="17"/>
      <c r="P6" s="17"/>
      <c r="Q6" s="18"/>
    </row>
    <row r="7" spans="1:17" x14ac:dyDescent="0.4">
      <c r="A7" s="19" t="s">
        <v>564</v>
      </c>
      <c r="B7" s="20"/>
      <c r="C7" s="20"/>
      <c r="D7" s="20"/>
      <c r="E7" s="20"/>
      <c r="F7" s="20"/>
      <c r="G7" s="20"/>
      <c r="H7" s="20"/>
      <c r="I7" s="20"/>
      <c r="J7" s="20"/>
      <c r="K7" s="20"/>
      <c r="L7" s="20"/>
      <c r="M7" s="20"/>
      <c r="N7" s="20"/>
      <c r="O7" s="20"/>
      <c r="P7" s="20"/>
      <c r="Q7" s="21"/>
    </row>
    <row r="8" spans="1:17" s="120" customFormat="1" x14ac:dyDescent="0.4"/>
    <row r="9" spans="1:17" x14ac:dyDescent="0.4">
      <c r="A9" s="4" t="s">
        <v>349</v>
      </c>
    </row>
    <row r="10" spans="1:17" x14ac:dyDescent="0.4">
      <c r="A10" s="4" t="s">
        <v>563</v>
      </c>
      <c r="B10" s="4" t="s">
        <v>562</v>
      </c>
      <c r="C10" s="4">
        <v>10000</v>
      </c>
    </row>
    <row r="11" spans="1:17" x14ac:dyDescent="0.4">
      <c r="B11" s="4" t="s">
        <v>561</v>
      </c>
      <c r="C11" s="4">
        <v>5000</v>
      </c>
    </row>
    <row r="13" spans="1:17" x14ac:dyDescent="0.4">
      <c r="A13" s="4" t="s">
        <v>560</v>
      </c>
      <c r="B13" s="4" t="s">
        <v>559</v>
      </c>
      <c r="D13" s="4">
        <v>300</v>
      </c>
    </row>
    <row r="14" spans="1:17" x14ac:dyDescent="0.4">
      <c r="B14" s="4" t="s">
        <v>558</v>
      </c>
      <c r="D14" s="4">
        <v>1700</v>
      </c>
    </row>
    <row r="16" spans="1:17" x14ac:dyDescent="0.4">
      <c r="A16" s="4" t="s">
        <v>557</v>
      </c>
      <c r="B16" s="4" t="s">
        <v>556</v>
      </c>
      <c r="E16" s="4">
        <v>500</v>
      </c>
    </row>
    <row r="17" spans="1:5" x14ac:dyDescent="0.4">
      <c r="B17" s="4" t="s">
        <v>555</v>
      </c>
      <c r="E17" s="4">
        <f>+C11*0.1</f>
        <v>500</v>
      </c>
    </row>
    <row r="19" spans="1:5" x14ac:dyDescent="0.4">
      <c r="A19" s="4" t="s">
        <v>554</v>
      </c>
      <c r="B19" s="4" t="s">
        <v>553</v>
      </c>
    </row>
    <row r="21" spans="1:5" x14ac:dyDescent="0.4">
      <c r="A21" s="4" t="s">
        <v>552</v>
      </c>
    </row>
    <row r="22" spans="1:5" x14ac:dyDescent="0.4">
      <c r="B22" s="4" t="s">
        <v>551</v>
      </c>
      <c r="C22" s="4" t="s">
        <v>550</v>
      </c>
    </row>
    <row r="23" spans="1:5" x14ac:dyDescent="0.4">
      <c r="B23" s="4" t="s">
        <v>549</v>
      </c>
      <c r="C23" s="4" t="s">
        <v>548</v>
      </c>
    </row>
    <row r="24" spans="1:5" x14ac:dyDescent="0.4">
      <c r="B24" s="4" t="s">
        <v>547</v>
      </c>
      <c r="D24" s="82">
        <f>+SQRT((D13+D14)*C10/SUM(E16:E17)*2)</f>
        <v>200</v>
      </c>
    </row>
    <row r="26" spans="1:5" x14ac:dyDescent="0.4">
      <c r="A26" s="4" t="s">
        <v>345</v>
      </c>
      <c r="B26" s="4" t="s">
        <v>546</v>
      </c>
    </row>
    <row r="28" spans="1:5" x14ac:dyDescent="0.4">
      <c r="C28" s="4" t="s">
        <v>188</v>
      </c>
      <c r="E28" s="4" t="s">
        <v>196</v>
      </c>
    </row>
    <row r="29" spans="1:5" x14ac:dyDescent="0.4">
      <c r="C29" s="4" t="s">
        <v>545</v>
      </c>
      <c r="E29" s="4" t="s">
        <v>544</v>
      </c>
    </row>
    <row r="30" spans="1:5" x14ac:dyDescent="0.4">
      <c r="B30" s="4" t="s">
        <v>543</v>
      </c>
      <c r="C30" s="4">
        <f>+SUM(D13:D14)*C10/125</f>
        <v>160000</v>
      </c>
      <c r="E30" s="4">
        <f>+SUM(D13:D14)*C10/200</f>
        <v>100000</v>
      </c>
    </row>
    <row r="31" spans="1:5" x14ac:dyDescent="0.4">
      <c r="B31" s="4" t="s">
        <v>542</v>
      </c>
      <c r="C31" s="4">
        <f>+SUM(E16:E17)*62.5</f>
        <v>62500</v>
      </c>
      <c r="E31" s="4">
        <f>+SUM(E16:E17)*100</f>
        <v>100000</v>
      </c>
    </row>
    <row r="32" spans="1:5" x14ac:dyDescent="0.4">
      <c r="B32" s="4" t="s">
        <v>541</v>
      </c>
      <c r="E32" s="4">
        <v>20000</v>
      </c>
    </row>
    <row r="33" spans="2:6" ht="16.8" thickBot="1" x14ac:dyDescent="0.45">
      <c r="B33" s="4" t="s">
        <v>540</v>
      </c>
      <c r="C33" s="150">
        <f>+SUM(C30:C32)</f>
        <v>222500</v>
      </c>
      <c r="E33" s="150">
        <f>+SUM(E30:E32)</f>
        <v>220000</v>
      </c>
      <c r="F33" s="4" t="s">
        <v>539</v>
      </c>
    </row>
    <row r="34" spans="2:6" ht="16.8" thickTop="1" x14ac:dyDescent="0.4"/>
  </sheetData>
  <phoneticPr fontId="3"/>
  <pageMargins left="0.25" right="0.25" top="0.75" bottom="0.75" header="0.3" footer="0.3"/>
  <pageSetup paperSize="9" scale="74" orientation="landscape"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8"/>
  <sheetViews>
    <sheetView zoomScale="90" zoomScaleNormal="90" workbookViewId="0">
      <selection activeCell="I27" sqref="I27"/>
    </sheetView>
  </sheetViews>
  <sheetFormatPr defaultColWidth="12" defaultRowHeight="16.2" x14ac:dyDescent="0.4"/>
  <cols>
    <col min="1" max="1" width="12.109375" style="4" customWidth="1"/>
    <col min="2" max="5" width="13.109375" style="4" customWidth="1"/>
    <col min="6" max="7" width="12.6640625" style="4" customWidth="1"/>
    <col min="8" max="10" width="13.109375" style="4" customWidth="1"/>
    <col min="11" max="11" width="12" style="4"/>
    <col min="12" max="12" width="11.88671875" style="4" customWidth="1"/>
    <col min="13" max="16384" width="12" style="4"/>
  </cols>
  <sheetData>
    <row r="1" spans="1:19" x14ac:dyDescent="0.4">
      <c r="A1" s="1" t="s">
        <v>302</v>
      </c>
      <c r="B1" s="2"/>
      <c r="C1" s="2"/>
      <c r="D1" s="2"/>
      <c r="E1" s="2"/>
      <c r="F1" s="2"/>
      <c r="G1" s="2"/>
      <c r="H1" s="2"/>
      <c r="I1" s="2"/>
      <c r="J1" s="2"/>
      <c r="K1" s="2"/>
      <c r="L1" s="2"/>
      <c r="M1" s="2"/>
      <c r="N1" s="2"/>
      <c r="O1" s="2"/>
      <c r="P1" s="2"/>
      <c r="Q1" s="3"/>
    </row>
    <row r="2" spans="1:19" x14ac:dyDescent="0.4">
      <c r="A2" s="5" t="s">
        <v>304</v>
      </c>
      <c r="B2" s="6"/>
      <c r="C2" s="6"/>
      <c r="D2" s="6"/>
      <c r="E2" s="6"/>
      <c r="F2" s="6"/>
      <c r="G2" s="6"/>
      <c r="H2" s="6"/>
      <c r="I2" s="6"/>
      <c r="J2" s="6"/>
      <c r="K2" s="6"/>
      <c r="L2" s="6"/>
      <c r="M2" s="6"/>
      <c r="N2" s="6"/>
      <c r="O2" s="6"/>
      <c r="P2" s="6"/>
      <c r="Q2" s="7"/>
    </row>
    <row r="3" spans="1:19" x14ac:dyDescent="0.4">
      <c r="A3" s="8" t="s">
        <v>2</v>
      </c>
      <c r="B3" s="9"/>
      <c r="C3" s="9"/>
      <c r="D3" s="9"/>
      <c r="E3" s="9"/>
      <c r="F3" s="9"/>
      <c r="G3" s="9"/>
      <c r="H3" s="9"/>
      <c r="I3" s="9"/>
      <c r="J3" s="9"/>
      <c r="K3" s="9"/>
      <c r="L3" s="9"/>
      <c r="M3" s="9"/>
      <c r="N3" s="9"/>
      <c r="O3" s="9"/>
      <c r="P3" s="9"/>
      <c r="Q3" s="10"/>
    </row>
    <row r="4" spans="1:19" s="12" customFormat="1" x14ac:dyDescent="0.4">
      <c r="A4" s="11"/>
      <c r="B4" s="11"/>
      <c r="C4" s="11"/>
      <c r="D4" s="11"/>
      <c r="E4" s="11"/>
      <c r="F4" s="11"/>
      <c r="G4" s="11"/>
      <c r="H4" s="11"/>
      <c r="I4" s="11"/>
      <c r="J4" s="11"/>
      <c r="K4" s="11"/>
      <c r="L4" s="11"/>
      <c r="M4" s="11"/>
      <c r="N4" s="11"/>
      <c r="O4" s="11"/>
      <c r="P4" s="11"/>
      <c r="Q4" s="11"/>
    </row>
    <row r="5" spans="1:19" ht="18" customHeight="1" x14ac:dyDescent="0.4">
      <c r="A5" s="13" t="s">
        <v>0</v>
      </c>
      <c r="B5" s="14"/>
      <c r="C5" s="14"/>
      <c r="D5" s="14"/>
      <c r="E5" s="14"/>
      <c r="F5" s="14"/>
      <c r="G5" s="14"/>
      <c r="H5" s="14"/>
      <c r="I5" s="14"/>
      <c r="J5" s="14"/>
      <c r="K5" s="14"/>
      <c r="L5" s="14"/>
      <c r="M5" s="14"/>
      <c r="N5" s="14"/>
      <c r="O5" s="14"/>
      <c r="P5" s="14"/>
      <c r="Q5" s="14"/>
      <c r="R5" s="15"/>
    </row>
    <row r="6" spans="1:19" x14ac:dyDescent="0.4">
      <c r="A6" s="16" t="s">
        <v>15</v>
      </c>
      <c r="B6" s="17"/>
      <c r="C6" s="17"/>
      <c r="D6" s="17"/>
      <c r="E6" s="17"/>
      <c r="F6" s="17"/>
      <c r="G6" s="17"/>
      <c r="H6" s="17"/>
      <c r="I6" s="17"/>
      <c r="J6" s="17"/>
      <c r="K6" s="17"/>
      <c r="L6" s="17"/>
      <c r="M6" s="17"/>
      <c r="N6" s="17"/>
      <c r="O6" s="17"/>
      <c r="P6" s="17"/>
      <c r="Q6" s="17"/>
      <c r="R6" s="18"/>
    </row>
    <row r="7" spans="1:19" x14ac:dyDescent="0.4">
      <c r="A7" s="19" t="s">
        <v>16</v>
      </c>
      <c r="B7" s="20"/>
      <c r="C7" s="20"/>
      <c r="D7" s="20"/>
      <c r="E7" s="20"/>
      <c r="F7" s="20"/>
      <c r="G7" s="20"/>
      <c r="H7" s="20"/>
      <c r="I7" s="20"/>
      <c r="J7" s="20"/>
      <c r="K7" s="20"/>
      <c r="L7" s="20"/>
      <c r="M7" s="20"/>
      <c r="N7" s="20"/>
      <c r="O7" s="20"/>
      <c r="P7" s="20"/>
      <c r="Q7" s="20"/>
      <c r="R7" s="21"/>
    </row>
    <row r="8" spans="1:19" s="12" customFormat="1" ht="17.25" customHeight="1" x14ac:dyDescent="0.4">
      <c r="B8" s="22"/>
      <c r="C8" s="22"/>
      <c r="D8" s="22"/>
      <c r="E8" s="22"/>
      <c r="F8" s="22"/>
      <c r="G8" s="22"/>
      <c r="H8" s="22"/>
      <c r="I8" s="22"/>
      <c r="J8" s="22"/>
      <c r="K8" s="22"/>
      <c r="L8" s="22"/>
      <c r="M8" s="22"/>
      <c r="N8" s="22"/>
      <c r="O8" s="22"/>
      <c r="P8" s="22"/>
      <c r="Q8" s="22"/>
      <c r="R8" s="22"/>
      <c r="S8" s="22"/>
    </row>
    <row r="9" spans="1:19" x14ac:dyDescent="0.4">
      <c r="B9" s="4" t="s">
        <v>3</v>
      </c>
      <c r="H9" s="4" t="s">
        <v>3</v>
      </c>
      <c r="N9" s="4" t="s">
        <v>3</v>
      </c>
    </row>
    <row r="10" spans="1:19" x14ac:dyDescent="0.4">
      <c r="C10" s="24" t="s">
        <v>571</v>
      </c>
      <c r="D10" s="25" t="s">
        <v>574</v>
      </c>
      <c r="E10" s="25" t="s">
        <v>6</v>
      </c>
      <c r="F10" s="29" t="s">
        <v>573</v>
      </c>
      <c r="I10" s="24" t="s">
        <v>572</v>
      </c>
      <c r="J10" s="25" t="s">
        <v>5</v>
      </c>
      <c r="K10" s="25" t="s">
        <v>570</v>
      </c>
      <c r="L10" s="29" t="s">
        <v>7</v>
      </c>
      <c r="O10" s="24" t="s">
        <v>571</v>
      </c>
      <c r="P10" s="25" t="s">
        <v>5</v>
      </c>
      <c r="Q10" s="25" t="s">
        <v>570</v>
      </c>
      <c r="R10" s="29" t="s">
        <v>7</v>
      </c>
    </row>
    <row r="11" spans="1:19" x14ac:dyDescent="0.4">
      <c r="B11" s="4" t="s">
        <v>8</v>
      </c>
      <c r="C11" s="26">
        <v>-22272</v>
      </c>
      <c r="D11" s="27">
        <v>8000</v>
      </c>
      <c r="E11" s="27">
        <v>10000</v>
      </c>
      <c r="F11" s="30">
        <v>6000</v>
      </c>
      <c r="H11" s="4" t="s">
        <v>8</v>
      </c>
      <c r="I11" s="26">
        <v>-10181</v>
      </c>
      <c r="J11" s="27">
        <v>4000</v>
      </c>
      <c r="K11" s="27">
        <v>2000</v>
      </c>
      <c r="L11" s="30">
        <v>6000</v>
      </c>
      <c r="N11" s="4" t="s">
        <v>569</v>
      </c>
      <c r="O11" s="31">
        <v>-15745.8</v>
      </c>
      <c r="P11" s="27">
        <v>6000</v>
      </c>
      <c r="Q11" s="27">
        <v>6000</v>
      </c>
      <c r="R11" s="30">
        <v>6000</v>
      </c>
    </row>
    <row r="12" spans="1:19" x14ac:dyDescent="0.4">
      <c r="B12" s="4" t="s">
        <v>1</v>
      </c>
      <c r="D12" s="28">
        <v>0.95240000000000002</v>
      </c>
      <c r="E12" s="28">
        <v>0.90700000000000003</v>
      </c>
      <c r="F12" s="28">
        <v>0.86380000000000001</v>
      </c>
      <c r="H12" s="4" t="s">
        <v>1</v>
      </c>
      <c r="J12" s="28">
        <v>0.95240000000000002</v>
      </c>
      <c r="K12" s="28">
        <v>0.90700000000000003</v>
      </c>
      <c r="L12" s="28">
        <v>0.86380000000000001</v>
      </c>
      <c r="N12" s="4" t="s">
        <v>1</v>
      </c>
      <c r="P12" s="28">
        <v>0.95240000000000002</v>
      </c>
      <c r="Q12" s="28">
        <v>0.90700000000000003</v>
      </c>
      <c r="R12" s="28">
        <v>0.86380000000000001</v>
      </c>
    </row>
    <row r="13" spans="1:19" x14ac:dyDescent="0.4">
      <c r="B13" s="4" t="s">
        <v>9</v>
      </c>
      <c r="C13" s="4">
        <f>+C11</f>
        <v>-22272</v>
      </c>
      <c r="D13" s="4">
        <f>+D11*D12</f>
        <v>7619.2</v>
      </c>
      <c r="E13" s="4">
        <f>+E11*E12</f>
        <v>9070</v>
      </c>
      <c r="F13" s="4">
        <f>+F11*F12</f>
        <v>5182.8</v>
      </c>
      <c r="H13" s="4" t="s">
        <v>9</v>
      </c>
      <c r="I13" s="4">
        <f>+I11</f>
        <v>-10181</v>
      </c>
      <c r="J13" s="4">
        <f>+J11*J12</f>
        <v>3809.6</v>
      </c>
      <c r="K13" s="4">
        <f>+K11*K12</f>
        <v>1814</v>
      </c>
      <c r="L13" s="4">
        <f>+L11*L12</f>
        <v>5182.8</v>
      </c>
      <c r="N13" s="4" t="s">
        <v>9</v>
      </c>
      <c r="O13" s="23">
        <f>+O11</f>
        <v>-15745.8</v>
      </c>
      <c r="P13" s="4">
        <f>+P11*P12</f>
        <v>5714.4000000000005</v>
      </c>
      <c r="Q13" s="4">
        <f>+Q11*Q12</f>
        <v>5442</v>
      </c>
      <c r="R13" s="4">
        <f>+R11*R12</f>
        <v>5182.8</v>
      </c>
    </row>
    <row r="14" spans="1:19" x14ac:dyDescent="0.4">
      <c r="A14" s="4" t="s">
        <v>12</v>
      </c>
      <c r="B14" s="4" t="s">
        <v>79</v>
      </c>
      <c r="C14" s="32">
        <f>+SUM(C13:F13)</f>
        <v>-399.99999999999909</v>
      </c>
      <c r="H14" s="4" t="s">
        <v>79</v>
      </c>
      <c r="I14" s="33">
        <f>+SUM(I13:L13)</f>
        <v>625.40000000000055</v>
      </c>
      <c r="N14" s="4" t="s">
        <v>568</v>
      </c>
      <c r="O14" s="33">
        <f>+SUM(O13:R13)</f>
        <v>593.40000000000236</v>
      </c>
    </row>
    <row r="16" spans="1:19" x14ac:dyDescent="0.4">
      <c r="A16" s="4" t="s">
        <v>13</v>
      </c>
      <c r="B16" s="4" t="s">
        <v>10</v>
      </c>
      <c r="C16" s="34">
        <f>+SUM(D13:F13)/-C13</f>
        <v>0.98204022988505746</v>
      </c>
      <c r="I16" s="34">
        <f>+SUM(J13:L13)/-I13</f>
        <v>1.0614281504763776</v>
      </c>
      <c r="O16" s="34">
        <f>+SUM(P13:R13)/-O13</f>
        <v>1.037686240140228</v>
      </c>
    </row>
    <row r="18" spans="1:15" x14ac:dyDescent="0.4">
      <c r="A18" s="4" t="s">
        <v>14</v>
      </c>
      <c r="B18" s="4" t="s">
        <v>11</v>
      </c>
      <c r="C18" s="35">
        <f>+IRR(C11:F11)</f>
        <v>3.9996252122203702E-2</v>
      </c>
      <c r="I18" s="35">
        <f>+IRR(I11:L11)</f>
        <v>8.0018895775004095E-2</v>
      </c>
      <c r="O18" s="35">
        <f>+IRR(O11:R11)</f>
        <v>7.0003346284783108E-2</v>
      </c>
    </row>
  </sheetData>
  <phoneticPr fontId="3"/>
  <pageMargins left="0.25" right="0.25" top="0.75" bottom="0.75" header="0.3" footer="0.3"/>
  <pageSetup paperSize="9" scale="6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1"/>
  <sheetViews>
    <sheetView zoomScale="90" zoomScaleNormal="90" workbookViewId="0">
      <selection activeCell="I27" sqref="I27"/>
    </sheetView>
  </sheetViews>
  <sheetFormatPr defaultColWidth="12" defaultRowHeight="16.2" x14ac:dyDescent="0.4"/>
  <cols>
    <col min="1" max="1" width="12.109375" style="4" customWidth="1"/>
    <col min="2" max="5" width="13.109375" style="4" customWidth="1"/>
    <col min="6" max="7" width="12.6640625" style="4" customWidth="1"/>
    <col min="8" max="10" width="13.109375" style="4" customWidth="1"/>
    <col min="11" max="11" width="12" style="4"/>
    <col min="12" max="12" width="11.88671875" style="4" customWidth="1"/>
    <col min="13" max="16384" width="12" style="4"/>
  </cols>
  <sheetData>
    <row r="1" spans="1:19" x14ac:dyDescent="0.4">
      <c r="A1" s="1" t="s">
        <v>302</v>
      </c>
      <c r="B1" s="2"/>
      <c r="C1" s="2"/>
      <c r="D1" s="2"/>
      <c r="E1" s="2"/>
      <c r="F1" s="2"/>
      <c r="G1" s="2"/>
      <c r="H1" s="2"/>
      <c r="I1" s="2"/>
      <c r="J1" s="2"/>
      <c r="K1" s="2"/>
      <c r="L1" s="2"/>
      <c r="M1" s="2"/>
      <c r="N1" s="2"/>
      <c r="O1" s="2"/>
      <c r="P1" s="2"/>
      <c r="Q1" s="3"/>
    </row>
    <row r="2" spans="1:19" x14ac:dyDescent="0.4">
      <c r="A2" s="5" t="s">
        <v>304</v>
      </c>
      <c r="B2" s="6"/>
      <c r="C2" s="6"/>
      <c r="D2" s="6"/>
      <c r="E2" s="6"/>
      <c r="F2" s="6"/>
      <c r="G2" s="6"/>
      <c r="H2" s="6"/>
      <c r="I2" s="6"/>
      <c r="J2" s="6"/>
      <c r="K2" s="6"/>
      <c r="L2" s="6"/>
      <c r="M2" s="6"/>
      <c r="N2" s="6"/>
      <c r="O2" s="6"/>
      <c r="P2" s="6"/>
      <c r="Q2" s="7"/>
    </row>
    <row r="3" spans="1:19" x14ac:dyDescent="0.4">
      <c r="A3" s="8" t="s">
        <v>305</v>
      </c>
      <c r="B3" s="9"/>
      <c r="C3" s="9"/>
      <c r="D3" s="9"/>
      <c r="E3" s="9"/>
      <c r="F3" s="9"/>
      <c r="G3" s="9"/>
      <c r="H3" s="9"/>
      <c r="I3" s="9"/>
      <c r="J3" s="9"/>
      <c r="K3" s="9"/>
      <c r="L3" s="9"/>
      <c r="M3" s="9"/>
      <c r="N3" s="9"/>
      <c r="O3" s="9"/>
      <c r="P3" s="9"/>
      <c r="Q3" s="10"/>
    </row>
    <row r="4" spans="1:19" s="12" customFormat="1" x14ac:dyDescent="0.4">
      <c r="A4" s="11"/>
      <c r="B4" s="11"/>
      <c r="C4" s="11"/>
      <c r="D4" s="11"/>
      <c r="E4" s="11"/>
      <c r="F4" s="11"/>
      <c r="G4" s="11"/>
      <c r="H4" s="11"/>
      <c r="I4" s="11"/>
      <c r="J4" s="11"/>
      <c r="K4" s="11"/>
      <c r="L4" s="11"/>
      <c r="M4" s="11"/>
      <c r="N4" s="11"/>
      <c r="O4" s="11"/>
      <c r="P4" s="11"/>
      <c r="Q4" s="11"/>
    </row>
    <row r="5" spans="1:19" ht="18" customHeight="1" x14ac:dyDescent="0.4">
      <c r="A5" s="13" t="s">
        <v>0</v>
      </c>
      <c r="B5" s="14"/>
      <c r="C5" s="14"/>
      <c r="D5" s="14"/>
      <c r="E5" s="14"/>
      <c r="F5" s="14"/>
      <c r="G5" s="14"/>
      <c r="H5" s="14"/>
      <c r="I5" s="14"/>
      <c r="J5" s="14"/>
      <c r="K5" s="14"/>
      <c r="L5" s="14"/>
      <c r="M5" s="14"/>
      <c r="N5" s="14"/>
      <c r="O5" s="14"/>
      <c r="P5" s="14"/>
      <c r="Q5" s="14"/>
      <c r="R5" s="15"/>
    </row>
    <row r="6" spans="1:19" x14ac:dyDescent="0.4">
      <c r="A6" s="16" t="s">
        <v>26</v>
      </c>
      <c r="B6" s="17"/>
      <c r="C6" s="17"/>
      <c r="D6" s="17"/>
      <c r="E6" s="17"/>
      <c r="F6" s="17"/>
      <c r="G6" s="17"/>
      <c r="H6" s="17"/>
      <c r="I6" s="17"/>
      <c r="J6" s="17"/>
      <c r="K6" s="17"/>
      <c r="L6" s="17"/>
      <c r="M6" s="17"/>
      <c r="N6" s="17"/>
      <c r="O6" s="17"/>
      <c r="P6" s="17"/>
      <c r="Q6" s="17"/>
      <c r="R6" s="18"/>
    </row>
    <row r="7" spans="1:19" x14ac:dyDescent="0.4">
      <c r="A7" s="19" t="s">
        <v>27</v>
      </c>
      <c r="B7" s="20"/>
      <c r="C7" s="20"/>
      <c r="D7" s="20"/>
      <c r="E7" s="20"/>
      <c r="F7" s="20"/>
      <c r="G7" s="20"/>
      <c r="H7" s="20"/>
      <c r="I7" s="20"/>
      <c r="J7" s="20"/>
      <c r="K7" s="20"/>
      <c r="L7" s="20"/>
      <c r="M7" s="20"/>
      <c r="N7" s="20"/>
      <c r="O7" s="20"/>
      <c r="P7" s="20"/>
      <c r="Q7" s="20"/>
      <c r="R7" s="21"/>
    </row>
    <row r="8" spans="1:19" s="12" customFormat="1" ht="17.25" customHeight="1" x14ac:dyDescent="0.4">
      <c r="B8" s="22"/>
      <c r="C8" s="22"/>
      <c r="D8" s="22"/>
      <c r="E8" s="22"/>
      <c r="F8" s="22"/>
      <c r="G8" s="22"/>
      <c r="H8" s="22"/>
      <c r="I8" s="22"/>
      <c r="J8" s="22"/>
      <c r="K8" s="22"/>
      <c r="L8" s="22"/>
      <c r="M8" s="22"/>
      <c r="N8" s="22"/>
      <c r="O8" s="22"/>
      <c r="P8" s="22"/>
      <c r="Q8" s="22"/>
      <c r="R8" s="22"/>
      <c r="S8" s="22"/>
    </row>
    <row r="10" spans="1:19" x14ac:dyDescent="0.4">
      <c r="C10" s="24" t="s">
        <v>4</v>
      </c>
      <c r="D10" s="25" t="s">
        <v>5</v>
      </c>
      <c r="E10" s="25" t="s">
        <v>6</v>
      </c>
      <c r="F10" s="29" t="s">
        <v>7</v>
      </c>
      <c r="G10" s="29" t="s">
        <v>17</v>
      </c>
      <c r="H10" s="29" t="s">
        <v>18</v>
      </c>
    </row>
    <row r="11" spans="1:19" x14ac:dyDescent="0.4">
      <c r="B11" s="4" t="s">
        <v>8</v>
      </c>
      <c r="C11" s="26">
        <v>-10000000</v>
      </c>
      <c r="D11" s="27">
        <v>2000000</v>
      </c>
      <c r="E11" s="27">
        <v>2400000</v>
      </c>
      <c r="F11" s="30">
        <v>2800000</v>
      </c>
      <c r="G11" s="30">
        <v>3300000</v>
      </c>
      <c r="H11" s="30">
        <f>+SUM(H12:H13)</f>
        <v>2500000</v>
      </c>
    </row>
    <row r="12" spans="1:19" x14ac:dyDescent="0.4">
      <c r="C12" s="36"/>
      <c r="D12" s="36"/>
      <c r="E12" s="36"/>
      <c r="F12" s="36"/>
      <c r="G12" s="36"/>
      <c r="H12" s="36">
        <v>2100000</v>
      </c>
      <c r="I12" s="4" t="s">
        <v>20</v>
      </c>
    </row>
    <row r="13" spans="1:19" x14ac:dyDescent="0.4">
      <c r="C13" s="36"/>
      <c r="D13" s="36"/>
      <c r="E13" s="36"/>
      <c r="F13" s="36"/>
      <c r="G13" s="36"/>
      <c r="H13" s="36">
        <v>400000</v>
      </c>
      <c r="I13" s="4" t="s">
        <v>21</v>
      </c>
    </row>
    <row r="14" spans="1:19" x14ac:dyDescent="0.4">
      <c r="B14" s="4" t="s">
        <v>1</v>
      </c>
      <c r="D14" s="28">
        <v>0.92589999999999995</v>
      </c>
      <c r="E14" s="28">
        <v>0.85729999999999995</v>
      </c>
      <c r="F14" s="28">
        <v>0.79379999999999995</v>
      </c>
      <c r="G14" s="28">
        <v>0.73499999999999999</v>
      </c>
      <c r="H14" s="28">
        <v>0.68059999999999998</v>
      </c>
    </row>
    <row r="15" spans="1:19" x14ac:dyDescent="0.4">
      <c r="B15" s="4" t="s">
        <v>9</v>
      </c>
      <c r="C15" s="4">
        <f>+C11</f>
        <v>-10000000</v>
      </c>
      <c r="D15" s="4">
        <f>+D11*D14</f>
        <v>1851800</v>
      </c>
      <c r="E15" s="4">
        <f>+E11*E14</f>
        <v>2057519.9999999998</v>
      </c>
      <c r="F15" s="4">
        <f>+F11*F14</f>
        <v>2222640</v>
      </c>
      <c r="G15" s="4">
        <f>+G11*G14</f>
        <v>2425500</v>
      </c>
      <c r="H15" s="4">
        <f>+H11*H14</f>
        <v>1701500</v>
      </c>
    </row>
    <row r="17" spans="1:4" x14ac:dyDescent="0.4">
      <c r="A17" s="4" t="s">
        <v>12</v>
      </c>
      <c r="B17" s="4" t="s">
        <v>79</v>
      </c>
      <c r="C17" s="32">
        <f>+SUM(C15:H15)</f>
        <v>258960</v>
      </c>
      <c r="D17" s="4" t="s">
        <v>22</v>
      </c>
    </row>
    <row r="19" spans="1:4" x14ac:dyDescent="0.4">
      <c r="A19" s="4" t="s">
        <v>13</v>
      </c>
      <c r="B19" s="4" t="s">
        <v>19</v>
      </c>
      <c r="C19" s="37">
        <f>+IRR(C11:H11)</f>
        <v>8.9257359687993754E-2</v>
      </c>
      <c r="D19" s="4" t="s">
        <v>23</v>
      </c>
    </row>
    <row r="20" spans="1:4" x14ac:dyDescent="0.4">
      <c r="D20" s="4" t="s">
        <v>24</v>
      </c>
    </row>
    <row r="21" spans="1:4" x14ac:dyDescent="0.4">
      <c r="D21" s="4" t="s">
        <v>25</v>
      </c>
    </row>
  </sheetData>
  <phoneticPr fontId="3"/>
  <pageMargins left="0.25" right="0.25" top="0.75" bottom="0.75" header="0.3" footer="0.3"/>
  <pageSetup paperSize="9" scale="6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5"/>
  <sheetViews>
    <sheetView zoomScale="90" zoomScaleNormal="90" workbookViewId="0">
      <selection activeCell="I27" sqref="I27"/>
    </sheetView>
  </sheetViews>
  <sheetFormatPr defaultColWidth="12" defaultRowHeight="16.2" x14ac:dyDescent="0.4"/>
  <cols>
    <col min="1" max="1" width="12.109375" style="4" customWidth="1"/>
    <col min="2" max="5" width="13.109375" style="4" customWidth="1"/>
    <col min="6" max="7" width="12.6640625" style="4" customWidth="1"/>
    <col min="8" max="10" width="13.109375" style="4" customWidth="1"/>
    <col min="11" max="11" width="12" style="4"/>
    <col min="12" max="12" width="11.88671875" style="4" customWidth="1"/>
    <col min="13" max="16384" width="12" style="4"/>
  </cols>
  <sheetData>
    <row r="1" spans="1:19" x14ac:dyDescent="0.4">
      <c r="A1" s="1" t="s">
        <v>302</v>
      </c>
      <c r="B1" s="2"/>
      <c r="C1" s="2"/>
      <c r="D1" s="2"/>
      <c r="E1" s="2"/>
      <c r="F1" s="2"/>
      <c r="G1" s="2"/>
      <c r="H1" s="2"/>
      <c r="I1" s="2"/>
      <c r="J1" s="2"/>
      <c r="K1" s="2"/>
      <c r="L1" s="2"/>
      <c r="M1" s="2"/>
      <c r="N1" s="2"/>
      <c r="O1" s="2"/>
      <c r="P1" s="2"/>
      <c r="Q1" s="3"/>
    </row>
    <row r="2" spans="1:19" x14ac:dyDescent="0.4">
      <c r="A2" s="5" t="s">
        <v>304</v>
      </c>
      <c r="B2" s="6"/>
      <c r="C2" s="6"/>
      <c r="D2" s="6"/>
      <c r="E2" s="6"/>
      <c r="F2" s="6"/>
      <c r="G2" s="6"/>
      <c r="H2" s="6"/>
      <c r="I2" s="6"/>
      <c r="J2" s="6"/>
      <c r="K2" s="6"/>
      <c r="L2" s="6"/>
      <c r="M2" s="6"/>
      <c r="N2" s="6"/>
      <c r="O2" s="6"/>
      <c r="P2" s="6"/>
      <c r="Q2" s="7"/>
    </row>
    <row r="3" spans="1:19" x14ac:dyDescent="0.4">
      <c r="A3" s="8" t="s">
        <v>306</v>
      </c>
      <c r="B3" s="9"/>
      <c r="C3" s="9"/>
      <c r="D3" s="9"/>
      <c r="E3" s="9"/>
      <c r="F3" s="9"/>
      <c r="G3" s="9"/>
      <c r="H3" s="9"/>
      <c r="I3" s="9"/>
      <c r="J3" s="9"/>
      <c r="K3" s="9"/>
      <c r="L3" s="9"/>
      <c r="M3" s="9"/>
      <c r="N3" s="9"/>
      <c r="O3" s="9"/>
      <c r="P3" s="9"/>
      <c r="Q3" s="10"/>
    </row>
    <row r="4" spans="1:19" s="12" customFormat="1" x14ac:dyDescent="0.4">
      <c r="A4" s="11"/>
      <c r="B4" s="11"/>
      <c r="C4" s="11"/>
      <c r="D4" s="11"/>
      <c r="E4" s="11"/>
      <c r="F4" s="11"/>
      <c r="G4" s="11"/>
      <c r="H4" s="11"/>
      <c r="I4" s="11"/>
      <c r="J4" s="11"/>
      <c r="K4" s="11"/>
      <c r="L4" s="11"/>
      <c r="M4" s="11"/>
      <c r="N4" s="11"/>
      <c r="O4" s="11"/>
      <c r="P4" s="11"/>
      <c r="Q4" s="11"/>
    </row>
    <row r="5" spans="1:19" ht="18" customHeight="1" x14ac:dyDescent="0.4">
      <c r="A5" s="13" t="s">
        <v>0</v>
      </c>
      <c r="B5" s="14"/>
      <c r="C5" s="14"/>
      <c r="D5" s="14"/>
      <c r="E5" s="14"/>
      <c r="F5" s="14"/>
      <c r="G5" s="14"/>
      <c r="H5" s="14"/>
      <c r="I5" s="14"/>
      <c r="J5" s="14"/>
      <c r="K5" s="14"/>
      <c r="L5" s="14"/>
      <c r="M5" s="14"/>
      <c r="N5" s="14"/>
      <c r="O5" s="14"/>
      <c r="P5" s="14"/>
      <c r="Q5" s="14"/>
      <c r="R5" s="15"/>
    </row>
    <row r="6" spans="1:19" x14ac:dyDescent="0.4">
      <c r="A6" s="16" t="s">
        <v>43</v>
      </c>
      <c r="B6" s="17"/>
      <c r="C6" s="17"/>
      <c r="D6" s="17"/>
      <c r="E6" s="17"/>
      <c r="F6" s="17"/>
      <c r="G6" s="17"/>
      <c r="H6" s="17"/>
      <c r="I6" s="17"/>
      <c r="J6" s="17"/>
      <c r="K6" s="17"/>
      <c r="L6" s="17"/>
      <c r="M6" s="17"/>
      <c r="N6" s="17"/>
      <c r="O6" s="17"/>
      <c r="P6" s="17"/>
      <c r="Q6" s="17"/>
      <c r="R6" s="18"/>
    </row>
    <row r="7" spans="1:19" x14ac:dyDescent="0.4">
      <c r="A7" s="19" t="s">
        <v>44</v>
      </c>
      <c r="B7" s="20"/>
      <c r="C7" s="20"/>
      <c r="D7" s="20"/>
      <c r="E7" s="20"/>
      <c r="F7" s="20"/>
      <c r="G7" s="20"/>
      <c r="H7" s="20"/>
      <c r="I7" s="20"/>
      <c r="J7" s="20"/>
      <c r="K7" s="20"/>
      <c r="L7" s="20"/>
      <c r="M7" s="20"/>
      <c r="N7" s="20"/>
      <c r="O7" s="20"/>
      <c r="P7" s="20"/>
      <c r="Q7" s="20"/>
      <c r="R7" s="21"/>
    </row>
    <row r="8" spans="1:19" s="12" customFormat="1" ht="17.25" customHeight="1" x14ac:dyDescent="0.4">
      <c r="B8" s="22"/>
      <c r="C8" s="22"/>
      <c r="D8" s="22"/>
      <c r="E8" s="22"/>
      <c r="F8" s="22"/>
      <c r="G8" s="22"/>
      <c r="H8" s="22"/>
      <c r="I8" s="22"/>
      <c r="J8" s="22"/>
      <c r="K8" s="22"/>
      <c r="L8" s="22"/>
      <c r="M8" s="22"/>
      <c r="N8" s="22"/>
      <c r="O8" s="22"/>
      <c r="P8" s="22"/>
      <c r="Q8" s="22"/>
      <c r="R8" s="22"/>
      <c r="S8" s="22"/>
    </row>
    <row r="9" spans="1:19" x14ac:dyDescent="0.4">
      <c r="J9" s="38" t="s">
        <v>28</v>
      </c>
    </row>
    <row r="10" spans="1:19" x14ac:dyDescent="0.4">
      <c r="C10" s="24" t="s">
        <v>4</v>
      </c>
      <c r="D10" s="25" t="s">
        <v>5</v>
      </c>
      <c r="E10" s="25" t="s">
        <v>6</v>
      </c>
      <c r="F10" s="29" t="s">
        <v>7</v>
      </c>
      <c r="G10" s="29" t="s">
        <v>17</v>
      </c>
      <c r="H10" s="29" t="s">
        <v>18</v>
      </c>
      <c r="J10" s="4" t="s">
        <v>29</v>
      </c>
      <c r="K10" s="4">
        <v>3000</v>
      </c>
    </row>
    <row r="11" spans="1:19" x14ac:dyDescent="0.4">
      <c r="B11" s="4" t="s">
        <v>8</v>
      </c>
      <c r="C11" s="26">
        <v>-3000</v>
      </c>
      <c r="D11" s="44">
        <f>+(C17-C11-H12*H14)/D13</f>
        <v>742.27187590682456</v>
      </c>
      <c r="E11" s="27" t="s">
        <v>41</v>
      </c>
      <c r="F11" s="30" t="s">
        <v>41</v>
      </c>
      <c r="G11" s="30" t="s">
        <v>41</v>
      </c>
      <c r="H11" s="30" t="s">
        <v>41</v>
      </c>
      <c r="I11" s="4" t="s">
        <v>42</v>
      </c>
      <c r="J11" s="4" t="s">
        <v>30</v>
      </c>
      <c r="K11" s="4">
        <v>300</v>
      </c>
    </row>
    <row r="12" spans="1:19" x14ac:dyDescent="0.4">
      <c r="C12" s="36"/>
      <c r="D12" s="36"/>
      <c r="E12" s="36"/>
      <c r="F12" s="36"/>
      <c r="G12" s="36"/>
      <c r="H12" s="36">
        <v>300</v>
      </c>
      <c r="I12" s="4" t="s">
        <v>21</v>
      </c>
      <c r="J12" s="4" t="s">
        <v>31</v>
      </c>
      <c r="K12" s="4">
        <v>5</v>
      </c>
    </row>
    <row r="13" spans="1:19" x14ac:dyDescent="0.4">
      <c r="C13" s="36"/>
      <c r="D13" s="248">
        <f>+SUM(D14:H14)</f>
        <v>3.7907000000000002</v>
      </c>
      <c r="E13" s="249"/>
      <c r="F13" s="249"/>
      <c r="G13" s="249"/>
      <c r="H13" s="250"/>
      <c r="J13" s="4" t="s">
        <v>32</v>
      </c>
      <c r="K13" s="4">
        <f>+(K10-K11)/K12</f>
        <v>540</v>
      </c>
    </row>
    <row r="14" spans="1:19" x14ac:dyDescent="0.4">
      <c r="B14" s="4" t="s">
        <v>1</v>
      </c>
      <c r="D14" s="28">
        <v>0.90910000000000002</v>
      </c>
      <c r="E14" s="28">
        <v>0.82640000000000002</v>
      </c>
      <c r="F14" s="28">
        <v>0.75129999999999997</v>
      </c>
      <c r="G14" s="28">
        <v>0.68300000000000005</v>
      </c>
      <c r="H14" s="28">
        <v>0.62090000000000001</v>
      </c>
    </row>
    <row r="15" spans="1:19" x14ac:dyDescent="0.4">
      <c r="B15" s="4" t="s">
        <v>9</v>
      </c>
      <c r="C15" s="4">
        <f>+C11</f>
        <v>-3000</v>
      </c>
    </row>
    <row r="16" spans="1:19" x14ac:dyDescent="0.4">
      <c r="J16" s="4" t="s">
        <v>33</v>
      </c>
    </row>
    <row r="17" spans="2:13" x14ac:dyDescent="0.4">
      <c r="B17" s="4" t="s">
        <v>40</v>
      </c>
      <c r="C17" s="32">
        <v>0</v>
      </c>
      <c r="D17" s="4" t="s">
        <v>39</v>
      </c>
    </row>
    <row r="18" spans="2:13" x14ac:dyDescent="0.4">
      <c r="J18" s="4" t="s">
        <v>34</v>
      </c>
      <c r="L18" s="4" t="s">
        <v>8</v>
      </c>
    </row>
    <row r="19" spans="2:13" x14ac:dyDescent="0.4">
      <c r="J19" s="30" t="s">
        <v>35</v>
      </c>
      <c r="K19" s="39">
        <v>75</v>
      </c>
      <c r="L19" s="30" t="s">
        <v>36</v>
      </c>
      <c r="M19" s="45">
        <f>+SUM(K19,K21,K23)</f>
        <v>817.27187590682456</v>
      </c>
    </row>
    <row r="20" spans="2:13" x14ac:dyDescent="0.4">
      <c r="J20" s="40"/>
      <c r="K20" s="36"/>
      <c r="L20" s="40"/>
      <c r="M20" s="41"/>
    </row>
    <row r="21" spans="2:13" x14ac:dyDescent="0.4">
      <c r="J21" s="30" t="s">
        <v>37</v>
      </c>
      <c r="K21" s="26">
        <f>+K13</f>
        <v>540</v>
      </c>
      <c r="L21" s="40"/>
      <c r="M21" s="41"/>
    </row>
    <row r="22" spans="2:13" x14ac:dyDescent="0.4">
      <c r="J22" s="29"/>
      <c r="K22" s="24"/>
      <c r="L22" s="40"/>
      <c r="M22" s="41"/>
    </row>
    <row r="23" spans="2:13" x14ac:dyDescent="0.4">
      <c r="J23" s="40" t="s">
        <v>38</v>
      </c>
      <c r="K23" s="43">
        <f>+K25-K21</f>
        <v>202.27187590682456</v>
      </c>
      <c r="L23" s="40"/>
      <c r="M23" s="41"/>
    </row>
    <row r="24" spans="2:13" x14ac:dyDescent="0.4">
      <c r="J24" s="29"/>
      <c r="K24" s="42"/>
      <c r="L24" s="29"/>
      <c r="M24" s="24"/>
    </row>
    <row r="25" spans="2:13" x14ac:dyDescent="0.4">
      <c r="K25" s="4">
        <f>+D11</f>
        <v>742.27187590682456</v>
      </c>
    </row>
  </sheetData>
  <mergeCells count="1">
    <mergeCell ref="D13:H13"/>
  </mergeCells>
  <phoneticPr fontId="3"/>
  <pageMargins left="0.25" right="0.25" top="0.75" bottom="0.75" header="0.3" footer="0.3"/>
  <pageSetup paperSize="9" scale="6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6"/>
  <sheetViews>
    <sheetView zoomScale="90" zoomScaleNormal="90" workbookViewId="0">
      <selection activeCell="I27" sqref="I27"/>
    </sheetView>
  </sheetViews>
  <sheetFormatPr defaultColWidth="12" defaultRowHeight="16.2" x14ac:dyDescent="0.4"/>
  <cols>
    <col min="1" max="1" width="12.109375" style="4" customWidth="1"/>
    <col min="2" max="5" width="13.109375" style="4" customWidth="1"/>
    <col min="6" max="7" width="12.6640625" style="4" customWidth="1"/>
    <col min="8" max="10" width="13.109375" style="4" customWidth="1"/>
    <col min="11" max="11" width="12" style="4"/>
    <col min="12" max="12" width="11.88671875" style="4" customWidth="1"/>
    <col min="13" max="16384" width="12" style="4"/>
  </cols>
  <sheetData>
    <row r="1" spans="1:19" x14ac:dyDescent="0.4">
      <c r="A1" s="1" t="s">
        <v>302</v>
      </c>
      <c r="B1" s="2"/>
      <c r="C1" s="2"/>
      <c r="D1" s="2"/>
      <c r="E1" s="2"/>
      <c r="F1" s="2"/>
      <c r="G1" s="2"/>
      <c r="H1" s="2"/>
      <c r="I1" s="2"/>
      <c r="J1" s="2"/>
      <c r="K1" s="2"/>
      <c r="L1" s="2"/>
      <c r="M1" s="2"/>
      <c r="N1" s="2"/>
      <c r="O1" s="2"/>
      <c r="P1" s="2"/>
      <c r="Q1" s="3"/>
    </row>
    <row r="2" spans="1:19" x14ac:dyDescent="0.4">
      <c r="A2" s="5" t="s">
        <v>309</v>
      </c>
      <c r="B2" s="6"/>
      <c r="C2" s="6"/>
      <c r="D2" s="6"/>
      <c r="E2" s="6"/>
      <c r="F2" s="6"/>
      <c r="G2" s="6"/>
      <c r="H2" s="6"/>
      <c r="I2" s="6"/>
      <c r="J2" s="6"/>
      <c r="K2" s="6"/>
      <c r="L2" s="6"/>
      <c r="M2" s="6"/>
      <c r="N2" s="6"/>
      <c r="O2" s="6"/>
      <c r="P2" s="6"/>
      <c r="Q2" s="7"/>
    </row>
    <row r="3" spans="1:19" x14ac:dyDescent="0.4">
      <c r="A3" s="8" t="s">
        <v>307</v>
      </c>
      <c r="B3" s="9"/>
      <c r="C3" s="9"/>
      <c r="D3" s="9"/>
      <c r="E3" s="9"/>
      <c r="F3" s="9"/>
      <c r="G3" s="9"/>
      <c r="H3" s="9"/>
      <c r="I3" s="9"/>
      <c r="J3" s="9"/>
      <c r="K3" s="9"/>
      <c r="L3" s="9"/>
      <c r="M3" s="9"/>
      <c r="N3" s="9"/>
      <c r="O3" s="9"/>
      <c r="P3" s="9"/>
      <c r="Q3" s="10"/>
    </row>
    <row r="4" spans="1:19" s="12" customFormat="1" x14ac:dyDescent="0.4">
      <c r="A4" s="11"/>
      <c r="B4" s="11"/>
      <c r="C4" s="11"/>
      <c r="D4" s="11"/>
      <c r="E4" s="11"/>
      <c r="F4" s="11"/>
      <c r="G4" s="11"/>
      <c r="H4" s="11"/>
      <c r="I4" s="11"/>
      <c r="J4" s="11"/>
      <c r="K4" s="11"/>
      <c r="L4" s="11"/>
      <c r="M4" s="11"/>
      <c r="N4" s="11"/>
      <c r="O4" s="11"/>
      <c r="P4" s="11"/>
      <c r="Q4" s="11"/>
    </row>
    <row r="5" spans="1:19" ht="18" customHeight="1" x14ac:dyDescent="0.4">
      <c r="A5" s="13" t="s">
        <v>0</v>
      </c>
      <c r="B5" s="14"/>
      <c r="C5" s="14"/>
      <c r="D5" s="14"/>
      <c r="E5" s="14"/>
      <c r="F5" s="14"/>
      <c r="G5" s="14"/>
      <c r="H5" s="14"/>
      <c r="I5" s="14"/>
      <c r="J5" s="14"/>
      <c r="K5" s="14"/>
      <c r="L5" s="14"/>
      <c r="M5" s="14"/>
      <c r="N5" s="14"/>
      <c r="O5" s="14"/>
      <c r="P5" s="14"/>
      <c r="Q5" s="14"/>
      <c r="R5" s="15"/>
    </row>
    <row r="6" spans="1:19" x14ac:dyDescent="0.4">
      <c r="A6" s="16" t="s">
        <v>47</v>
      </c>
      <c r="B6" s="17"/>
      <c r="C6" s="17"/>
      <c r="D6" s="17"/>
      <c r="E6" s="17"/>
      <c r="F6" s="17"/>
      <c r="G6" s="17"/>
      <c r="H6" s="17"/>
      <c r="I6" s="17"/>
      <c r="J6" s="17"/>
      <c r="K6" s="17"/>
      <c r="L6" s="17"/>
      <c r="M6" s="17"/>
      <c r="N6" s="17"/>
      <c r="O6" s="17"/>
      <c r="P6" s="17"/>
      <c r="Q6" s="17"/>
      <c r="R6" s="18"/>
    </row>
    <row r="7" spans="1:19" x14ac:dyDescent="0.4">
      <c r="A7" s="19" t="s">
        <v>49</v>
      </c>
      <c r="B7" s="20"/>
      <c r="C7" s="20"/>
      <c r="D7" s="20"/>
      <c r="E7" s="20"/>
      <c r="F7" s="20"/>
      <c r="G7" s="20"/>
      <c r="H7" s="20"/>
      <c r="I7" s="20"/>
      <c r="J7" s="20"/>
      <c r="K7" s="20"/>
      <c r="L7" s="20"/>
      <c r="M7" s="20"/>
      <c r="N7" s="20"/>
      <c r="O7" s="20"/>
      <c r="P7" s="20"/>
      <c r="Q7" s="20"/>
      <c r="R7" s="21"/>
    </row>
    <row r="8" spans="1:19" s="12" customFormat="1" ht="17.25" customHeight="1" x14ac:dyDescent="0.4">
      <c r="B8" s="22"/>
      <c r="C8" s="22"/>
      <c r="D8" s="22"/>
      <c r="E8" s="22"/>
      <c r="F8" s="22"/>
      <c r="G8" s="22"/>
      <c r="H8" s="22"/>
      <c r="I8" s="22"/>
      <c r="J8" s="22"/>
      <c r="K8" s="22"/>
      <c r="L8" s="22"/>
      <c r="M8" s="22"/>
      <c r="N8" s="22"/>
      <c r="O8" s="22"/>
      <c r="P8" s="22"/>
      <c r="Q8" s="22"/>
      <c r="R8" s="22"/>
      <c r="S8" s="22"/>
    </row>
    <row r="9" spans="1:19" x14ac:dyDescent="0.4">
      <c r="B9" s="4" t="s">
        <v>3</v>
      </c>
      <c r="H9" s="4" t="s">
        <v>3</v>
      </c>
      <c r="N9" s="4" t="s">
        <v>3</v>
      </c>
    </row>
    <row r="10" spans="1:19" x14ac:dyDescent="0.4">
      <c r="C10" s="24" t="s">
        <v>579</v>
      </c>
      <c r="D10" s="25" t="s">
        <v>578</v>
      </c>
      <c r="E10" s="25" t="s">
        <v>6</v>
      </c>
      <c r="F10" s="29" t="s">
        <v>576</v>
      </c>
      <c r="I10" s="24" t="s">
        <v>4</v>
      </c>
      <c r="J10" s="25" t="s">
        <v>578</v>
      </c>
      <c r="K10" s="25" t="s">
        <v>577</v>
      </c>
      <c r="L10" s="29" t="s">
        <v>576</v>
      </c>
      <c r="O10" s="24" t="s">
        <v>579</v>
      </c>
      <c r="P10" s="25" t="s">
        <v>578</v>
      </c>
      <c r="Q10" s="25" t="s">
        <v>577</v>
      </c>
      <c r="R10" s="29" t="s">
        <v>576</v>
      </c>
    </row>
    <row r="11" spans="1:19" x14ac:dyDescent="0.4">
      <c r="B11" s="4" t="s">
        <v>575</v>
      </c>
      <c r="C11" s="26">
        <v>-21600</v>
      </c>
      <c r="D11" s="27">
        <v>8000</v>
      </c>
      <c r="E11" s="27">
        <v>10000</v>
      </c>
      <c r="F11" s="30">
        <v>6000</v>
      </c>
      <c r="H11" s="4" t="s">
        <v>575</v>
      </c>
      <c r="I11" s="26">
        <v>-10200</v>
      </c>
      <c r="J11" s="27">
        <v>4000</v>
      </c>
      <c r="K11" s="27">
        <v>2000</v>
      </c>
      <c r="L11" s="30">
        <v>6000</v>
      </c>
      <c r="N11" s="4" t="s">
        <v>575</v>
      </c>
      <c r="O11" s="31">
        <v>-15600</v>
      </c>
      <c r="P11" s="27">
        <v>6000</v>
      </c>
      <c r="Q11" s="27">
        <v>6000</v>
      </c>
      <c r="R11" s="30">
        <v>6000</v>
      </c>
    </row>
    <row r="13" spans="1:19" x14ac:dyDescent="0.4">
      <c r="A13" s="4" t="s">
        <v>12</v>
      </c>
      <c r="B13" s="4" t="s">
        <v>45</v>
      </c>
      <c r="C13" s="34">
        <f>-C11/AVERAGE(D11:F11)</f>
        <v>2.7</v>
      </c>
      <c r="D13" s="4" t="s">
        <v>46</v>
      </c>
      <c r="I13" s="34">
        <f>-I11/AVERAGE(J11:L11)</f>
        <v>2.5499999999999998</v>
      </c>
      <c r="J13" s="4" t="s">
        <v>46</v>
      </c>
      <c r="O13" s="34">
        <f>-O11/AVERAGE(P11:R11)</f>
        <v>2.6</v>
      </c>
      <c r="P13" s="4" t="s">
        <v>46</v>
      </c>
    </row>
    <row r="15" spans="1:19" x14ac:dyDescent="0.4">
      <c r="A15" s="4" t="s">
        <v>13</v>
      </c>
      <c r="B15" s="4" t="s">
        <v>48</v>
      </c>
    </row>
    <row r="16" spans="1:19" x14ac:dyDescent="0.4">
      <c r="C16" s="37">
        <f>-SUM(C11:F11)/3/C11</f>
        <v>3.7037037037037035E-2</v>
      </c>
      <c r="I16" s="37">
        <f>-SUM(I11:L11)/3/I11</f>
        <v>5.8823529411764705E-2</v>
      </c>
      <c r="O16" s="37">
        <f>-SUM(O11:R11)/3/O11</f>
        <v>5.128205128205128E-2</v>
      </c>
    </row>
  </sheetData>
  <phoneticPr fontId="3"/>
  <pageMargins left="0.25" right="0.25" top="0.75" bottom="0.75" header="0.3" footer="0.3"/>
  <pageSetup paperSize="9" scale="6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7"/>
  <sheetViews>
    <sheetView zoomScale="90" zoomScaleNormal="90" workbookViewId="0">
      <selection activeCell="I27" sqref="I27"/>
    </sheetView>
  </sheetViews>
  <sheetFormatPr defaultColWidth="12" defaultRowHeight="16.2" x14ac:dyDescent="0.4"/>
  <cols>
    <col min="1" max="1" width="12.109375" style="4" customWidth="1"/>
    <col min="2" max="5" width="13.109375" style="4" customWidth="1"/>
    <col min="6" max="7" width="12.6640625" style="4" customWidth="1"/>
    <col min="8" max="10" width="13.109375" style="4" customWidth="1"/>
    <col min="11" max="11" width="12" style="4"/>
    <col min="12" max="12" width="11.88671875" style="4" customWidth="1"/>
    <col min="13" max="16384" width="12" style="4"/>
  </cols>
  <sheetData>
    <row r="1" spans="1:19" x14ac:dyDescent="0.4">
      <c r="A1" s="1" t="s">
        <v>302</v>
      </c>
      <c r="B1" s="2"/>
      <c r="C1" s="2"/>
      <c r="D1" s="2"/>
      <c r="E1" s="2"/>
      <c r="F1" s="2"/>
      <c r="G1" s="2"/>
      <c r="H1" s="2"/>
      <c r="I1" s="2"/>
      <c r="J1" s="2"/>
      <c r="K1" s="2"/>
      <c r="L1" s="2"/>
      <c r="M1" s="2"/>
      <c r="N1" s="2"/>
      <c r="O1" s="2"/>
      <c r="P1" s="2"/>
      <c r="Q1" s="3"/>
    </row>
    <row r="2" spans="1:19" x14ac:dyDescent="0.4">
      <c r="A2" s="5" t="s">
        <v>310</v>
      </c>
      <c r="B2" s="6"/>
      <c r="C2" s="6"/>
      <c r="D2" s="6"/>
      <c r="E2" s="6"/>
      <c r="F2" s="6"/>
      <c r="G2" s="6"/>
      <c r="H2" s="6"/>
      <c r="I2" s="6"/>
      <c r="J2" s="6"/>
      <c r="K2" s="6"/>
      <c r="L2" s="6"/>
      <c r="M2" s="6"/>
      <c r="N2" s="6"/>
      <c r="O2" s="6"/>
      <c r="P2" s="6"/>
      <c r="Q2" s="7"/>
    </row>
    <row r="3" spans="1:19" x14ac:dyDescent="0.4">
      <c r="A3" s="8" t="s">
        <v>308</v>
      </c>
      <c r="B3" s="9"/>
      <c r="C3" s="9"/>
      <c r="D3" s="9"/>
      <c r="E3" s="9"/>
      <c r="F3" s="9"/>
      <c r="G3" s="9"/>
      <c r="H3" s="9"/>
      <c r="I3" s="9"/>
      <c r="J3" s="9"/>
      <c r="K3" s="9"/>
      <c r="L3" s="9"/>
      <c r="M3" s="9"/>
      <c r="N3" s="9"/>
      <c r="O3" s="9"/>
      <c r="P3" s="9"/>
      <c r="Q3" s="10"/>
    </row>
    <row r="4" spans="1:19" s="12" customFormat="1" x14ac:dyDescent="0.4">
      <c r="A4" s="11"/>
      <c r="B4" s="11"/>
      <c r="C4" s="11"/>
      <c r="D4" s="11"/>
      <c r="E4" s="11"/>
      <c r="F4" s="11"/>
      <c r="G4" s="11"/>
      <c r="H4" s="11"/>
      <c r="I4" s="11"/>
      <c r="J4" s="11"/>
      <c r="K4" s="11"/>
      <c r="L4" s="11"/>
      <c r="M4" s="11"/>
      <c r="N4" s="11"/>
      <c r="O4" s="11"/>
      <c r="P4" s="11"/>
      <c r="Q4" s="11"/>
    </row>
    <row r="5" spans="1:19" ht="18" customHeight="1" x14ac:dyDescent="0.4">
      <c r="A5" s="13" t="s">
        <v>0</v>
      </c>
      <c r="B5" s="14"/>
      <c r="C5" s="14"/>
      <c r="D5" s="14"/>
      <c r="E5" s="14"/>
      <c r="F5" s="14"/>
      <c r="G5" s="14"/>
      <c r="H5" s="14"/>
      <c r="I5" s="14"/>
      <c r="J5" s="14"/>
      <c r="K5" s="14"/>
      <c r="L5" s="14"/>
      <c r="M5" s="14"/>
      <c r="N5" s="14"/>
      <c r="O5" s="14"/>
      <c r="P5" s="14"/>
      <c r="Q5" s="14"/>
      <c r="R5" s="15"/>
    </row>
    <row r="6" spans="1:19" x14ac:dyDescent="0.4">
      <c r="A6" s="16" t="s">
        <v>100</v>
      </c>
      <c r="B6" s="17"/>
      <c r="C6" s="17"/>
      <c r="D6" s="17"/>
      <c r="E6" s="17"/>
      <c r="F6" s="17"/>
      <c r="G6" s="17"/>
      <c r="H6" s="17"/>
      <c r="I6" s="17"/>
      <c r="J6" s="17"/>
      <c r="K6" s="17"/>
      <c r="L6" s="17"/>
      <c r="M6" s="17"/>
      <c r="N6" s="17"/>
      <c r="O6" s="17"/>
      <c r="P6" s="17"/>
      <c r="Q6" s="17"/>
      <c r="R6" s="18"/>
    </row>
    <row r="7" spans="1:19" x14ac:dyDescent="0.4">
      <c r="A7" s="19" t="s">
        <v>101</v>
      </c>
      <c r="B7" s="20"/>
      <c r="C7" s="20"/>
      <c r="D7" s="20"/>
      <c r="E7" s="20"/>
      <c r="F7" s="20"/>
      <c r="G7" s="20"/>
      <c r="H7" s="20"/>
      <c r="I7" s="46"/>
      <c r="J7" s="20"/>
      <c r="K7" s="20"/>
      <c r="L7" s="20"/>
      <c r="M7" s="20"/>
      <c r="N7" s="20"/>
      <c r="O7" s="20"/>
      <c r="P7" s="20"/>
      <c r="Q7" s="20"/>
      <c r="R7" s="21"/>
    </row>
    <row r="8" spans="1:19" s="12" customFormat="1" ht="17.25" customHeight="1" x14ac:dyDescent="0.4">
      <c r="B8" s="22"/>
      <c r="C8" s="22"/>
      <c r="D8" s="22"/>
      <c r="E8" s="22"/>
      <c r="F8" s="22"/>
      <c r="G8" s="22"/>
      <c r="H8" s="22"/>
      <c r="I8" s="22"/>
      <c r="J8" s="22"/>
      <c r="K8" s="22"/>
      <c r="L8" s="22"/>
      <c r="M8" s="22"/>
      <c r="N8" s="22" t="s">
        <v>82</v>
      </c>
      <c r="O8" s="22"/>
      <c r="P8" s="22"/>
      <c r="Q8" s="22"/>
      <c r="R8" s="22"/>
      <c r="S8" s="22"/>
    </row>
    <row r="9" spans="1:19" x14ac:dyDescent="0.4">
      <c r="J9" s="38" t="s">
        <v>28</v>
      </c>
      <c r="M9" s="4" t="s">
        <v>80</v>
      </c>
      <c r="N9" s="4" t="s">
        <v>81</v>
      </c>
      <c r="P9" s="4" t="s">
        <v>57</v>
      </c>
    </row>
    <row r="10" spans="1:19" s="12" customFormat="1" x14ac:dyDescent="0.4">
      <c r="C10" s="56" t="s">
        <v>59</v>
      </c>
      <c r="D10" s="57" t="s">
        <v>60</v>
      </c>
      <c r="E10" s="57" t="s">
        <v>61</v>
      </c>
      <c r="F10" s="58" t="s">
        <v>62</v>
      </c>
      <c r="G10" s="58" t="s">
        <v>63</v>
      </c>
      <c r="H10" s="58" t="s">
        <v>64</v>
      </c>
      <c r="L10" s="12" t="s">
        <v>69</v>
      </c>
      <c r="M10" s="12" t="s">
        <v>51</v>
      </c>
      <c r="N10" s="12" t="s">
        <v>52</v>
      </c>
      <c r="P10" s="12" t="s">
        <v>58</v>
      </c>
    </row>
    <row r="11" spans="1:19" s="12" customFormat="1" x14ac:dyDescent="0.4">
      <c r="B11" s="12" t="s">
        <v>78</v>
      </c>
      <c r="C11" s="59">
        <f>-SUM(L11:N11)</f>
        <v>-7000</v>
      </c>
      <c r="D11" s="66">
        <f>+G33</f>
        <v>1440</v>
      </c>
      <c r="E11" s="60">
        <f t="shared" ref="E11:H12" si="0">+D11</f>
        <v>1440</v>
      </c>
      <c r="F11" s="60">
        <f t="shared" si="0"/>
        <v>1440</v>
      </c>
      <c r="G11" s="60">
        <f t="shared" si="0"/>
        <v>1440</v>
      </c>
      <c r="H11" s="60">
        <f t="shared" si="0"/>
        <v>1440</v>
      </c>
      <c r="I11" s="12" t="s">
        <v>42</v>
      </c>
      <c r="J11" s="12" t="s">
        <v>29</v>
      </c>
      <c r="L11" s="12">
        <v>1000</v>
      </c>
      <c r="M11" s="12">
        <v>2000</v>
      </c>
      <c r="N11" s="12">
        <v>4000</v>
      </c>
      <c r="P11" s="12" t="s">
        <v>65</v>
      </c>
      <c r="Q11" s="12">
        <v>1200</v>
      </c>
    </row>
    <row r="12" spans="1:19" s="12" customFormat="1" x14ac:dyDescent="0.4">
      <c r="B12" s="12" t="s">
        <v>92</v>
      </c>
      <c r="C12" s="62"/>
      <c r="D12" s="51">
        <f>+M14*0.4</f>
        <v>72</v>
      </c>
      <c r="E12" s="62">
        <f t="shared" si="0"/>
        <v>72</v>
      </c>
      <c r="F12" s="62">
        <f t="shared" si="0"/>
        <v>72</v>
      </c>
      <c r="G12" s="62">
        <f t="shared" si="0"/>
        <v>72</v>
      </c>
      <c r="H12" s="62">
        <f t="shared" si="0"/>
        <v>72</v>
      </c>
      <c r="J12" s="12" t="s">
        <v>30</v>
      </c>
      <c r="M12" s="12">
        <v>200</v>
      </c>
      <c r="N12" s="12">
        <v>400</v>
      </c>
      <c r="P12" s="12" t="s">
        <v>66</v>
      </c>
      <c r="Q12" s="12">
        <v>600</v>
      </c>
    </row>
    <row r="13" spans="1:19" s="12" customFormat="1" x14ac:dyDescent="0.4">
      <c r="B13" s="12" t="s">
        <v>95</v>
      </c>
      <c r="C13" s="62"/>
      <c r="D13" s="81">
        <f>+C23*(1-$N$15)*0.4</f>
        <v>590.4</v>
      </c>
      <c r="E13" s="81">
        <f>+D23*(1-$N$15)*0.4</f>
        <v>372.54240000000004</v>
      </c>
      <c r="F13" s="81">
        <f>+E23*(1-$N$15)*0.4</f>
        <v>235.07425440000003</v>
      </c>
      <c r="G13" s="81">
        <f>+F23*(1-$N$15)*0.4</f>
        <v>148.33185452640001</v>
      </c>
      <c r="H13" s="81">
        <f>+G23*(1-$N$15)*0.4</f>
        <v>93.597400206158397</v>
      </c>
      <c r="J13" s="12" t="s">
        <v>31</v>
      </c>
      <c r="M13" s="12">
        <v>10</v>
      </c>
      <c r="N13" s="12">
        <v>5</v>
      </c>
      <c r="P13" s="12" t="s">
        <v>67</v>
      </c>
      <c r="Q13" s="12">
        <v>-800</v>
      </c>
    </row>
    <row r="14" spans="1:19" s="12" customFormat="1" x14ac:dyDescent="0.4">
      <c r="B14" s="12" t="s">
        <v>93</v>
      </c>
      <c r="C14" s="62">
        <f>-SUM(Q11:Q13)</f>
        <v>-1000</v>
      </c>
      <c r="D14" s="62"/>
      <c r="E14" s="62"/>
      <c r="F14" s="62"/>
      <c r="G14" s="62"/>
      <c r="H14" s="62">
        <f>-C14</f>
        <v>1000</v>
      </c>
      <c r="I14" s="12" t="s">
        <v>21</v>
      </c>
      <c r="J14" s="12" t="s">
        <v>32</v>
      </c>
      <c r="M14" s="12">
        <f>+(M11-M12)/M13</f>
        <v>180</v>
      </c>
      <c r="N14" s="12" t="s">
        <v>91</v>
      </c>
    </row>
    <row r="15" spans="1:19" s="12" customFormat="1" x14ac:dyDescent="0.4">
      <c r="B15" s="12" t="s">
        <v>94</v>
      </c>
      <c r="C15" s="62"/>
      <c r="D15" s="62"/>
      <c r="E15" s="62"/>
      <c r="F15" s="62"/>
      <c r="G15" s="62"/>
      <c r="H15" s="62">
        <f>+SUM(L20,L22,M20,M22,N20)</f>
        <v>2380</v>
      </c>
      <c r="J15" s="12" t="s">
        <v>96</v>
      </c>
      <c r="N15" s="80">
        <v>0.63100000000000001</v>
      </c>
      <c r="Q15" s="12" t="s">
        <v>76</v>
      </c>
    </row>
    <row r="16" spans="1:19" s="12" customFormat="1" x14ac:dyDescent="0.4">
      <c r="B16" s="12" t="s">
        <v>98</v>
      </c>
      <c r="C16" s="62">
        <f t="shared" ref="C16:H16" si="1">+SUM(C11:C15)</f>
        <v>-8000</v>
      </c>
      <c r="D16" s="62">
        <f t="shared" si="1"/>
        <v>2102.4</v>
      </c>
      <c r="E16" s="62">
        <f t="shared" si="1"/>
        <v>1884.5424</v>
      </c>
      <c r="F16" s="62">
        <f t="shared" si="1"/>
        <v>1747.0742544</v>
      </c>
      <c r="G16" s="62">
        <f t="shared" si="1"/>
        <v>1660.3318545264001</v>
      </c>
      <c r="H16" s="62">
        <f t="shared" si="1"/>
        <v>4985.5974002061585</v>
      </c>
    </row>
    <row r="17" spans="1:20" s="12" customFormat="1" x14ac:dyDescent="0.4">
      <c r="B17" s="12" t="s">
        <v>1</v>
      </c>
      <c r="C17" s="12">
        <v>1</v>
      </c>
      <c r="D17" s="64">
        <v>0.92589999999999995</v>
      </c>
      <c r="E17" s="64">
        <v>0.85729999999999995</v>
      </c>
      <c r="F17" s="64">
        <v>0.79379999999999995</v>
      </c>
      <c r="G17" s="64">
        <v>0.73499999999999999</v>
      </c>
      <c r="H17" s="64">
        <v>0.68059999999999998</v>
      </c>
      <c r="J17" s="12" t="s">
        <v>68</v>
      </c>
      <c r="Q17" s="12" t="s">
        <v>77</v>
      </c>
    </row>
    <row r="18" spans="1:20" s="12" customFormat="1" x14ac:dyDescent="0.4">
      <c r="B18" s="12" t="s">
        <v>9</v>
      </c>
      <c r="C18" s="12">
        <f t="shared" ref="C18:H18" si="2">+C16*C17</f>
        <v>-8000</v>
      </c>
      <c r="D18" s="12">
        <f t="shared" si="2"/>
        <v>1946.6121599999999</v>
      </c>
      <c r="E18" s="12">
        <f t="shared" si="2"/>
        <v>1615.61819952</v>
      </c>
      <c r="F18" s="12">
        <f t="shared" si="2"/>
        <v>1386.8275431427198</v>
      </c>
      <c r="G18" s="12">
        <f t="shared" si="2"/>
        <v>1220.3439130769041</v>
      </c>
      <c r="H18" s="12">
        <f t="shared" si="2"/>
        <v>3393.1975905803115</v>
      </c>
      <c r="L18" s="63" t="s">
        <v>69</v>
      </c>
      <c r="M18" s="12" t="s">
        <v>51</v>
      </c>
      <c r="N18" s="12" t="s">
        <v>52</v>
      </c>
      <c r="O18" s="63"/>
    </row>
    <row r="19" spans="1:20" s="12" customFormat="1" x14ac:dyDescent="0.4">
      <c r="A19" s="12" t="s">
        <v>12</v>
      </c>
      <c r="B19" s="12" t="s">
        <v>79</v>
      </c>
      <c r="C19" s="82">
        <f>+SUM(C18:H18)</f>
        <v>1562.5994063199348</v>
      </c>
      <c r="J19" s="12" t="s">
        <v>70</v>
      </c>
      <c r="L19" s="63">
        <v>1000</v>
      </c>
      <c r="M19" s="63">
        <f>+M11-M14*5</f>
        <v>1100</v>
      </c>
      <c r="N19" s="12">
        <v>400</v>
      </c>
      <c r="O19" s="63"/>
    </row>
    <row r="20" spans="1:20" s="12" customFormat="1" x14ac:dyDescent="0.4">
      <c r="A20" s="12" t="s">
        <v>13</v>
      </c>
      <c r="B20" s="4" t="s">
        <v>99</v>
      </c>
      <c r="C20" s="83">
        <f>+IRR(C16:H16)</f>
        <v>0.14209098774147488</v>
      </c>
      <c r="D20" s="4"/>
      <c r="E20" s="4"/>
      <c r="F20" s="4"/>
      <c r="G20" s="4"/>
      <c r="H20" s="4"/>
      <c r="J20" s="12" t="s">
        <v>71</v>
      </c>
      <c r="L20" s="63">
        <f>+L19*1.1</f>
        <v>1100</v>
      </c>
      <c r="M20" s="63">
        <v>800</v>
      </c>
      <c r="N20" s="12">
        <v>400</v>
      </c>
      <c r="O20" s="63" t="s">
        <v>75</v>
      </c>
    </row>
    <row r="21" spans="1:20" s="12" customFormat="1" x14ac:dyDescent="0.4">
      <c r="A21" s="4"/>
      <c r="B21" s="79"/>
      <c r="C21" s="4"/>
      <c r="D21" s="4"/>
      <c r="E21" s="4"/>
      <c r="F21" s="4"/>
      <c r="G21" s="4"/>
      <c r="H21" s="4"/>
      <c r="J21" s="12" t="s">
        <v>72</v>
      </c>
      <c r="L21" s="63">
        <f>+L20-L19</f>
        <v>100</v>
      </c>
      <c r="M21" s="63">
        <f>+M20-M19</f>
        <v>-300</v>
      </c>
      <c r="O21" s="63"/>
    </row>
    <row r="22" spans="1:20" s="12" customFormat="1" x14ac:dyDescent="0.4">
      <c r="A22" s="4"/>
      <c r="B22" s="4" t="s">
        <v>97</v>
      </c>
      <c r="C22" s="4"/>
      <c r="D22" s="4"/>
      <c r="E22" s="4"/>
      <c r="F22" s="4"/>
      <c r="G22" s="4"/>
      <c r="H22" s="4"/>
      <c r="J22" s="12" t="s">
        <v>73</v>
      </c>
      <c r="L22" s="63">
        <f>-L21*0.4</f>
        <v>-40</v>
      </c>
      <c r="M22" s="63">
        <f>-M21*0.4</f>
        <v>120</v>
      </c>
      <c r="O22" s="63" t="s">
        <v>74</v>
      </c>
    </row>
    <row r="23" spans="1:20" s="12" customFormat="1" x14ac:dyDescent="0.4">
      <c r="A23" s="4"/>
      <c r="B23" s="4"/>
      <c r="C23" s="4">
        <f>+N11</f>
        <v>4000</v>
      </c>
      <c r="D23" s="4">
        <f>+C23*$N$15</f>
        <v>2524</v>
      </c>
      <c r="E23" s="4">
        <f>+D23*$N$15</f>
        <v>1592.644</v>
      </c>
      <c r="F23" s="4">
        <f>+E23*$N$15</f>
        <v>1004.958364</v>
      </c>
      <c r="G23" s="4">
        <f>+F23*$N$15</f>
        <v>634.12872768399995</v>
      </c>
      <c r="H23" s="4">
        <f>+G23*$N$15</f>
        <v>400.13522716860399</v>
      </c>
      <c r="K23" s="63"/>
      <c r="L23" s="63"/>
      <c r="M23" s="63"/>
      <c r="N23" s="63"/>
    </row>
    <row r="24" spans="1:20" x14ac:dyDescent="0.4">
      <c r="I24" s="12"/>
      <c r="J24" s="12"/>
      <c r="K24" s="63"/>
      <c r="L24" s="63"/>
      <c r="M24" s="63"/>
      <c r="N24" s="63"/>
      <c r="O24" s="12"/>
      <c r="P24" s="12"/>
      <c r="Q24" s="12"/>
      <c r="R24" s="12"/>
      <c r="S24" s="12"/>
      <c r="T24" s="12"/>
    </row>
    <row r="25" spans="1:20" ht="19.8" x14ac:dyDescent="0.4">
      <c r="A25" s="199" t="s">
        <v>716</v>
      </c>
      <c r="B25" s="189"/>
      <c r="C25" s="190"/>
      <c r="D25" s="190"/>
      <c r="E25" s="190"/>
      <c r="F25" s="190"/>
      <c r="G25" s="189"/>
      <c r="H25" s="189"/>
      <c r="I25" s="189"/>
      <c r="J25" s="189"/>
      <c r="K25" s="189"/>
      <c r="L25" s="189"/>
      <c r="M25" s="189"/>
      <c r="N25" s="191"/>
    </row>
    <row r="26" spans="1:20" x14ac:dyDescent="0.4">
      <c r="A26" s="192"/>
      <c r="B26" s="193" t="s">
        <v>84</v>
      </c>
      <c r="C26" s="194"/>
      <c r="D26" s="194"/>
      <c r="E26" s="194"/>
      <c r="F26" s="194"/>
      <c r="G26" s="193" t="s">
        <v>85</v>
      </c>
      <c r="H26" s="193"/>
      <c r="I26" s="193"/>
      <c r="J26" s="193"/>
      <c r="K26" s="193"/>
      <c r="L26" s="193"/>
      <c r="M26" s="193"/>
      <c r="N26" s="195"/>
    </row>
    <row r="27" spans="1:20" x14ac:dyDescent="0.4">
      <c r="A27" s="192"/>
      <c r="B27" s="193" t="s">
        <v>712</v>
      </c>
      <c r="C27" s="194"/>
      <c r="D27" s="194"/>
      <c r="E27" s="194"/>
      <c r="F27" s="194"/>
      <c r="G27" s="193" t="s">
        <v>714</v>
      </c>
      <c r="H27" s="193"/>
      <c r="I27" s="193"/>
      <c r="J27" s="193"/>
      <c r="K27" s="193"/>
      <c r="L27" s="193"/>
      <c r="M27" s="193"/>
      <c r="N27" s="195"/>
    </row>
    <row r="28" spans="1:20" x14ac:dyDescent="0.4">
      <c r="A28" s="192"/>
      <c r="B28" s="193" t="s">
        <v>713</v>
      </c>
      <c r="C28" s="194"/>
      <c r="D28" s="194"/>
      <c r="E28" s="194"/>
      <c r="F28" s="194"/>
      <c r="G28" s="193" t="s">
        <v>715</v>
      </c>
      <c r="H28" s="193"/>
      <c r="I28" s="193"/>
      <c r="J28" s="193"/>
      <c r="K28" s="193"/>
      <c r="L28" s="193"/>
      <c r="M28" s="193"/>
      <c r="N28" s="195"/>
    </row>
    <row r="29" spans="1:20" x14ac:dyDescent="0.4">
      <c r="A29" s="192"/>
      <c r="B29" s="193" t="s">
        <v>34</v>
      </c>
      <c r="C29" s="194"/>
      <c r="D29" s="194" t="s">
        <v>8</v>
      </c>
      <c r="E29" s="194"/>
      <c r="F29" s="194"/>
      <c r="G29" s="193" t="s">
        <v>34</v>
      </c>
      <c r="H29" s="194"/>
      <c r="I29" s="194" t="s">
        <v>8</v>
      </c>
      <c r="J29" s="194"/>
      <c r="K29" s="193"/>
      <c r="L29" s="193"/>
      <c r="M29" s="193"/>
      <c r="N29" s="195"/>
    </row>
    <row r="30" spans="1:20" x14ac:dyDescent="0.4">
      <c r="A30" s="192"/>
      <c r="B30" s="61" t="s">
        <v>50</v>
      </c>
      <c r="C30" s="48">
        <v>12000</v>
      </c>
      <c r="D30" s="49" t="s">
        <v>83</v>
      </c>
      <c r="E30" s="50">
        <v>14400</v>
      </c>
      <c r="F30" s="194"/>
      <c r="G30" s="61" t="s">
        <v>50</v>
      </c>
      <c r="H30" s="48">
        <v>12000</v>
      </c>
      <c r="I30" s="49" t="s">
        <v>83</v>
      </c>
      <c r="J30" s="50">
        <v>14400</v>
      </c>
      <c r="K30" s="193"/>
      <c r="L30" s="193"/>
      <c r="M30" s="193"/>
      <c r="N30" s="195"/>
    </row>
    <row r="31" spans="1:20" x14ac:dyDescent="0.4">
      <c r="A31" s="192"/>
      <c r="B31" s="65"/>
      <c r="C31" s="51"/>
      <c r="D31" s="52"/>
      <c r="E31" s="53"/>
      <c r="F31" s="194"/>
      <c r="G31" s="65"/>
      <c r="H31" s="51"/>
      <c r="I31" s="52"/>
      <c r="J31" s="53"/>
      <c r="K31" s="193"/>
      <c r="L31" s="193"/>
      <c r="M31" s="193"/>
      <c r="N31" s="195"/>
    </row>
    <row r="32" spans="1:20" x14ac:dyDescent="0.4">
      <c r="A32" s="192"/>
      <c r="B32" s="67" t="s">
        <v>37</v>
      </c>
      <c r="C32" s="68" t="s">
        <v>711</v>
      </c>
      <c r="D32" s="52"/>
      <c r="E32" s="53"/>
      <c r="F32" s="194"/>
      <c r="G32" s="73" t="s">
        <v>86</v>
      </c>
      <c r="H32" s="76" t="s">
        <v>87</v>
      </c>
      <c r="I32" s="52"/>
      <c r="J32" s="53"/>
      <c r="K32" s="193"/>
      <c r="L32" s="193"/>
      <c r="M32" s="193"/>
      <c r="N32" s="195"/>
    </row>
    <row r="33" spans="1:14" x14ac:dyDescent="0.4">
      <c r="A33" s="192"/>
      <c r="B33" s="69"/>
      <c r="C33" s="70"/>
      <c r="D33" s="52"/>
      <c r="E33" s="53"/>
      <c r="F33" s="194"/>
      <c r="G33" s="74">
        <f>(J30-H30)*0.6</f>
        <v>1440</v>
      </c>
      <c r="H33" s="77" t="s">
        <v>90</v>
      </c>
      <c r="I33" s="52"/>
      <c r="J33" s="53"/>
      <c r="K33" s="193"/>
      <c r="L33" s="193"/>
      <c r="M33" s="193"/>
      <c r="N33" s="195"/>
    </row>
    <row r="34" spans="1:14" x14ac:dyDescent="0.4">
      <c r="A34" s="192"/>
      <c r="B34" s="65" t="s">
        <v>53</v>
      </c>
      <c r="C34" s="71">
        <f>+E30-SUM(F14,C30)</f>
        <v>2400</v>
      </c>
      <c r="D34" s="52"/>
      <c r="E34" s="53"/>
      <c r="F34" s="194"/>
      <c r="G34" s="74"/>
      <c r="H34" s="51" t="s">
        <v>88</v>
      </c>
      <c r="I34" s="52"/>
      <c r="J34" s="53"/>
      <c r="K34" s="193"/>
      <c r="L34" s="193"/>
      <c r="M34" s="193"/>
      <c r="N34" s="195"/>
    </row>
    <row r="35" spans="1:14" x14ac:dyDescent="0.4">
      <c r="A35" s="192"/>
      <c r="B35" s="40" t="s">
        <v>54</v>
      </c>
      <c r="C35" s="71" t="s">
        <v>55</v>
      </c>
      <c r="D35" s="52"/>
      <c r="E35" s="53"/>
      <c r="F35" s="194"/>
      <c r="G35" s="74"/>
      <c r="H35" s="51">
        <f>+(J30-H30)*0.4</f>
        <v>960</v>
      </c>
      <c r="I35" s="52"/>
      <c r="J35" s="53"/>
      <c r="K35" s="193"/>
      <c r="L35" s="193"/>
      <c r="M35" s="193"/>
      <c r="N35" s="195"/>
    </row>
    <row r="36" spans="1:14" x14ac:dyDescent="0.4">
      <c r="A36" s="192"/>
      <c r="B36" s="29">
        <f>+C34*0.4</f>
        <v>960</v>
      </c>
      <c r="C36" s="72">
        <f>+C34*0.6</f>
        <v>1440</v>
      </c>
      <c r="D36" s="55"/>
      <c r="E36" s="54"/>
      <c r="F36" s="194"/>
      <c r="G36" s="75"/>
      <c r="H36" s="78" t="s">
        <v>89</v>
      </c>
      <c r="I36" s="55"/>
      <c r="J36" s="54"/>
      <c r="K36" s="193"/>
      <c r="L36" s="193"/>
      <c r="M36" s="193"/>
      <c r="N36" s="195"/>
    </row>
    <row r="37" spans="1:14" x14ac:dyDescent="0.4">
      <c r="A37" s="196"/>
      <c r="B37" s="197" t="s">
        <v>56</v>
      </c>
      <c r="C37" s="197" t="s">
        <v>711</v>
      </c>
      <c r="D37" s="197"/>
      <c r="E37" s="197"/>
      <c r="F37" s="197"/>
      <c r="G37" s="197" t="s">
        <v>56</v>
      </c>
      <c r="H37" s="197"/>
      <c r="I37" s="197"/>
      <c r="J37" s="197"/>
      <c r="K37" s="197"/>
      <c r="L37" s="197"/>
      <c r="M37" s="197"/>
      <c r="N37" s="198"/>
    </row>
  </sheetData>
  <phoneticPr fontId="3"/>
  <pageMargins left="0.25" right="0.25" top="0.75" bottom="0.75" header="0.3" footer="0.3"/>
  <pageSetup paperSize="9" scale="6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0"/>
  <sheetViews>
    <sheetView topLeftCell="A4" zoomScale="90" zoomScaleNormal="90" workbookViewId="0">
      <selection activeCell="I27" sqref="I27"/>
    </sheetView>
  </sheetViews>
  <sheetFormatPr defaultColWidth="12" defaultRowHeight="16.2" x14ac:dyDescent="0.4"/>
  <cols>
    <col min="1" max="1" width="12.109375" style="4" customWidth="1"/>
    <col min="2" max="5" width="13.109375" style="4" customWidth="1"/>
    <col min="6" max="7" width="12.6640625" style="4" customWidth="1"/>
    <col min="8" max="10" width="13.109375" style="4" customWidth="1"/>
    <col min="11" max="11" width="12" style="4"/>
    <col min="12" max="12" width="11.88671875" style="4" customWidth="1"/>
    <col min="13" max="16384" width="12" style="4"/>
  </cols>
  <sheetData>
    <row r="1" spans="1:19" x14ac:dyDescent="0.4">
      <c r="A1" s="1" t="s">
        <v>302</v>
      </c>
      <c r="B1" s="2"/>
      <c r="C1" s="2"/>
      <c r="D1" s="2"/>
      <c r="E1" s="2"/>
      <c r="F1" s="2"/>
      <c r="G1" s="2"/>
      <c r="H1" s="2"/>
      <c r="I1" s="2"/>
      <c r="J1" s="2"/>
      <c r="K1" s="2"/>
      <c r="L1" s="2"/>
      <c r="M1" s="2"/>
      <c r="N1" s="2"/>
      <c r="O1" s="2"/>
      <c r="P1" s="2"/>
      <c r="Q1" s="3"/>
    </row>
    <row r="2" spans="1:19" x14ac:dyDescent="0.4">
      <c r="A2" s="5" t="s">
        <v>310</v>
      </c>
      <c r="B2" s="6"/>
      <c r="C2" s="6"/>
      <c r="D2" s="6"/>
      <c r="E2" s="6"/>
      <c r="F2" s="6"/>
      <c r="G2" s="6"/>
      <c r="H2" s="6"/>
      <c r="I2" s="6"/>
      <c r="J2" s="6"/>
      <c r="K2" s="6"/>
      <c r="L2" s="6"/>
      <c r="M2" s="6"/>
      <c r="N2" s="6"/>
      <c r="O2" s="6"/>
      <c r="P2" s="6"/>
      <c r="Q2" s="7"/>
    </row>
    <row r="3" spans="1:19" x14ac:dyDescent="0.4">
      <c r="A3" s="8" t="s">
        <v>2</v>
      </c>
      <c r="B3" s="9"/>
      <c r="C3" s="9"/>
      <c r="D3" s="9"/>
      <c r="E3" s="9"/>
      <c r="F3" s="9"/>
      <c r="G3" s="9"/>
      <c r="H3" s="9"/>
      <c r="I3" s="9"/>
      <c r="J3" s="9"/>
      <c r="K3" s="9"/>
      <c r="L3" s="9"/>
      <c r="M3" s="9"/>
      <c r="N3" s="9"/>
      <c r="O3" s="9"/>
      <c r="P3" s="9"/>
      <c r="Q3" s="10"/>
    </row>
    <row r="4" spans="1:19" s="12" customFormat="1" x14ac:dyDescent="0.4">
      <c r="A4" s="11"/>
      <c r="B4" s="11"/>
      <c r="C4" s="11"/>
      <c r="D4" s="11"/>
      <c r="E4" s="11"/>
      <c r="F4" s="11"/>
      <c r="G4" s="11"/>
      <c r="H4" s="11"/>
      <c r="I4" s="11"/>
      <c r="J4" s="11"/>
      <c r="K4" s="11"/>
      <c r="L4" s="11"/>
      <c r="M4" s="11"/>
      <c r="N4" s="11"/>
      <c r="O4" s="11"/>
      <c r="P4" s="11"/>
      <c r="Q4" s="11"/>
    </row>
    <row r="5" spans="1:19" ht="18" customHeight="1" x14ac:dyDescent="0.4">
      <c r="A5" s="13" t="s">
        <v>0</v>
      </c>
      <c r="B5" s="14"/>
      <c r="C5" s="14"/>
      <c r="D5" s="14"/>
      <c r="E5" s="14"/>
      <c r="F5" s="14"/>
      <c r="G5" s="14"/>
      <c r="H5" s="14"/>
      <c r="I5" s="14"/>
      <c r="J5" s="14"/>
      <c r="K5" s="14"/>
      <c r="L5" s="14"/>
      <c r="M5" s="14"/>
      <c r="N5" s="14"/>
      <c r="O5" s="14"/>
      <c r="P5" s="14"/>
      <c r="Q5" s="14"/>
      <c r="R5" s="15"/>
    </row>
    <row r="6" spans="1:19" x14ac:dyDescent="0.4">
      <c r="A6" s="16" t="s">
        <v>141</v>
      </c>
      <c r="B6" s="17"/>
      <c r="C6" s="17"/>
      <c r="D6" s="17"/>
      <c r="E6" s="17"/>
      <c r="F6" s="17"/>
      <c r="G6" s="17"/>
      <c r="H6" s="17"/>
      <c r="I6" s="17"/>
      <c r="J6" s="17"/>
      <c r="K6" s="17"/>
      <c r="L6" s="17"/>
      <c r="M6" s="17"/>
      <c r="N6" s="17"/>
      <c r="O6" s="17"/>
      <c r="P6" s="17"/>
      <c r="Q6" s="17"/>
      <c r="R6" s="18"/>
    </row>
    <row r="7" spans="1:19" x14ac:dyDescent="0.4">
      <c r="A7" s="110" t="s">
        <v>142</v>
      </c>
      <c r="B7" s="17"/>
      <c r="C7" s="17"/>
      <c r="D7" s="17"/>
      <c r="E7" s="17"/>
      <c r="F7" s="17"/>
      <c r="G7" s="17"/>
      <c r="H7" s="17"/>
      <c r="I7" s="17"/>
      <c r="J7" s="17"/>
      <c r="K7" s="17"/>
      <c r="L7" s="17"/>
      <c r="M7" s="17"/>
      <c r="N7" s="17"/>
      <c r="O7" s="17"/>
      <c r="P7" s="17"/>
      <c r="Q7" s="17"/>
      <c r="R7" s="18"/>
    </row>
    <row r="8" spans="1:19" x14ac:dyDescent="0.4">
      <c r="A8" s="109" t="s">
        <v>143</v>
      </c>
      <c r="B8" s="17"/>
      <c r="C8" s="17"/>
      <c r="D8" s="17"/>
      <c r="E8" s="17"/>
      <c r="F8" s="17"/>
      <c r="G8" s="17"/>
      <c r="H8" s="17"/>
      <c r="I8" s="17"/>
      <c r="J8" s="17"/>
      <c r="K8" s="17"/>
      <c r="L8" s="17"/>
      <c r="M8" s="17"/>
      <c r="N8" s="17"/>
      <c r="O8" s="17"/>
      <c r="P8" s="17"/>
      <c r="Q8" s="17"/>
      <c r="R8" s="18"/>
    </row>
    <row r="9" spans="1:19" x14ac:dyDescent="0.4">
      <c r="A9" s="108" t="s">
        <v>144</v>
      </c>
      <c r="B9" s="17"/>
      <c r="C9" s="17"/>
      <c r="D9" s="17"/>
      <c r="E9" s="17"/>
      <c r="F9" s="17"/>
      <c r="G9" s="17"/>
      <c r="H9" s="17"/>
      <c r="I9" s="17"/>
      <c r="J9" s="17"/>
      <c r="K9" s="17"/>
      <c r="L9" s="17"/>
      <c r="M9" s="17"/>
      <c r="N9" s="17"/>
      <c r="O9" s="17"/>
      <c r="P9" s="17"/>
      <c r="Q9" s="17"/>
      <c r="R9" s="18"/>
    </row>
    <row r="10" spans="1:19" x14ac:dyDescent="0.4">
      <c r="A10" s="111" t="s">
        <v>145</v>
      </c>
      <c r="B10" s="17"/>
      <c r="C10" s="17"/>
      <c r="D10" s="17"/>
      <c r="E10" s="17"/>
      <c r="F10" s="17"/>
      <c r="G10" s="17"/>
      <c r="H10" s="17"/>
      <c r="I10" s="17"/>
      <c r="J10" s="17"/>
      <c r="K10" s="17"/>
      <c r="L10" s="17"/>
      <c r="M10" s="17"/>
      <c r="N10" s="17"/>
      <c r="O10" s="17"/>
      <c r="P10" s="17"/>
      <c r="Q10" s="17"/>
      <c r="R10" s="18"/>
    </row>
    <row r="11" spans="1:19" x14ac:dyDescent="0.4">
      <c r="A11" s="19" t="s">
        <v>146</v>
      </c>
      <c r="B11" s="20"/>
      <c r="C11" s="20"/>
      <c r="D11" s="20"/>
      <c r="E11" s="20"/>
      <c r="F11" s="20"/>
      <c r="G11" s="20"/>
      <c r="H11" s="20"/>
      <c r="I11" s="20"/>
      <c r="J11" s="20"/>
      <c r="K11" s="20"/>
      <c r="L11" s="20"/>
      <c r="M11" s="20"/>
      <c r="N11" s="20"/>
      <c r="O11" s="20"/>
      <c r="P11" s="20"/>
      <c r="Q11" s="20"/>
      <c r="R11" s="21"/>
    </row>
    <row r="12" spans="1:19" s="12" customFormat="1" ht="17.25" customHeight="1" x14ac:dyDescent="0.4">
      <c r="B12" s="22"/>
      <c r="C12" s="22"/>
      <c r="D12" s="22"/>
      <c r="E12" s="22"/>
      <c r="F12" s="22"/>
      <c r="G12" s="22"/>
      <c r="H12" s="22"/>
      <c r="I12" s="22"/>
      <c r="J12" s="22"/>
      <c r="K12" s="22"/>
      <c r="L12" s="22"/>
      <c r="M12" s="22"/>
      <c r="N12" s="22"/>
      <c r="O12" s="22"/>
      <c r="P12" s="22"/>
      <c r="Q12" s="22"/>
      <c r="R12" s="22"/>
      <c r="S12" s="22"/>
    </row>
    <row r="13" spans="1:19" x14ac:dyDescent="0.4">
      <c r="B13" s="12"/>
      <c r="C13" s="12">
        <f>-SUM(L34:N34)</f>
        <v>-20500</v>
      </c>
      <c r="D13" s="12"/>
      <c r="E13" s="12"/>
      <c r="F13" s="12"/>
      <c r="G13" s="12"/>
      <c r="H13" s="12"/>
      <c r="I13" s="12"/>
      <c r="J13" s="12" t="s">
        <v>102</v>
      </c>
      <c r="K13" s="12"/>
      <c r="L13" s="12"/>
      <c r="M13" s="12"/>
    </row>
    <row r="14" spans="1:19" x14ac:dyDescent="0.4">
      <c r="B14" s="12"/>
      <c r="C14" s="56" t="s">
        <v>119</v>
      </c>
      <c r="D14" s="57" t="s">
        <v>121</v>
      </c>
      <c r="E14" s="57" t="s">
        <v>123</v>
      </c>
      <c r="F14" s="58" t="s">
        <v>125</v>
      </c>
      <c r="G14" s="58" t="s">
        <v>127</v>
      </c>
      <c r="H14" s="12"/>
      <c r="I14" s="12"/>
      <c r="J14" s="12" t="s">
        <v>34</v>
      </c>
      <c r="K14" s="63"/>
      <c r="L14" s="63" t="s">
        <v>8</v>
      </c>
      <c r="M14" s="63"/>
    </row>
    <row r="15" spans="1:19" x14ac:dyDescent="0.4">
      <c r="B15" s="60" t="s">
        <v>112</v>
      </c>
      <c r="C15" s="59"/>
      <c r="D15" s="66">
        <f>+M45*M46</f>
        <v>31500</v>
      </c>
      <c r="E15" s="66">
        <f>+N45*N46</f>
        <v>35100</v>
      </c>
      <c r="F15" s="66">
        <f>+O45*O46</f>
        <v>30000</v>
      </c>
      <c r="G15" s="66">
        <f>+P45*P46</f>
        <v>21000</v>
      </c>
      <c r="H15" s="12"/>
      <c r="I15" s="12"/>
      <c r="J15" s="61" t="s">
        <v>50</v>
      </c>
      <c r="K15" s="48" t="s">
        <v>103</v>
      </c>
      <c r="L15" s="49" t="s">
        <v>83</v>
      </c>
      <c r="M15" s="50" t="s">
        <v>103</v>
      </c>
    </row>
    <row r="16" spans="1:19" x14ac:dyDescent="0.4">
      <c r="B16" s="106" t="s">
        <v>113</v>
      </c>
      <c r="C16" s="62"/>
      <c r="D16" s="51">
        <f>-D15*0.65</f>
        <v>-20475</v>
      </c>
      <c r="E16" s="51">
        <f>-E15*0.65</f>
        <v>-22815</v>
      </c>
      <c r="F16" s="51">
        <f>-F15*0.65</f>
        <v>-19500</v>
      </c>
      <c r="G16" s="51">
        <f>-G15*0.65</f>
        <v>-13650</v>
      </c>
      <c r="H16" s="12"/>
      <c r="I16" s="12"/>
      <c r="J16" s="65"/>
      <c r="K16" s="51"/>
      <c r="L16" s="52"/>
      <c r="M16" s="53"/>
    </row>
    <row r="17" spans="1:14" x14ac:dyDescent="0.4">
      <c r="B17" s="106" t="s">
        <v>130</v>
      </c>
      <c r="C17" s="62"/>
      <c r="D17" s="51">
        <v>-5000</v>
      </c>
      <c r="E17" s="51">
        <v>-5000</v>
      </c>
      <c r="F17" s="51">
        <v>-5000</v>
      </c>
      <c r="G17" s="51">
        <v>-5000</v>
      </c>
      <c r="H17" s="12"/>
      <c r="I17" s="12"/>
      <c r="J17" s="73" t="s">
        <v>56</v>
      </c>
      <c r="K17" s="100" t="s">
        <v>87</v>
      </c>
      <c r="L17" s="52"/>
      <c r="M17" s="53"/>
    </row>
    <row r="18" spans="1:14" x14ac:dyDescent="0.4">
      <c r="B18" s="57" t="s">
        <v>131</v>
      </c>
      <c r="C18" s="62"/>
      <c r="D18" s="71">
        <f>+SUM(D15:D17)*0.6</f>
        <v>3615</v>
      </c>
      <c r="E18" s="71">
        <f>+SUM(E15:E17)*0.6</f>
        <v>4371</v>
      </c>
      <c r="F18" s="71">
        <f>+SUM(F15:F17)*0.6</f>
        <v>3300</v>
      </c>
      <c r="G18" s="71">
        <f>+SUM(G15:G17)*0.6</f>
        <v>1410</v>
      </c>
      <c r="H18" s="12" t="s">
        <v>148</v>
      </c>
      <c r="I18" s="12"/>
      <c r="J18" s="74" t="s">
        <v>104</v>
      </c>
      <c r="K18" s="101" t="s">
        <v>90</v>
      </c>
      <c r="L18" s="52"/>
      <c r="M18" s="53"/>
    </row>
    <row r="19" spans="1:14" x14ac:dyDescent="0.4">
      <c r="B19" s="60" t="s">
        <v>92</v>
      </c>
      <c r="C19" s="62"/>
      <c r="D19" s="94">
        <f>+M37*0.4</f>
        <v>234</v>
      </c>
      <c r="E19" s="95">
        <f>+D19</f>
        <v>234</v>
      </c>
      <c r="F19" s="95">
        <f>+E19</f>
        <v>234</v>
      </c>
      <c r="G19" s="95">
        <f>+F19</f>
        <v>234</v>
      </c>
      <c r="H19" s="12" t="s">
        <v>147</v>
      </c>
      <c r="I19" s="12"/>
      <c r="J19" s="74"/>
      <c r="K19" s="51" t="s">
        <v>88</v>
      </c>
      <c r="L19" s="52"/>
      <c r="M19" s="53"/>
    </row>
    <row r="20" spans="1:14" x14ac:dyDescent="0.4">
      <c r="B20" s="106" t="s">
        <v>95</v>
      </c>
      <c r="C20" s="62"/>
      <c r="D20" s="96">
        <f>+L42*(1-$N$38)*0.4</f>
        <v>1576.8</v>
      </c>
      <c r="E20" s="96">
        <f>+M42*(1-$N$38)*0.4</f>
        <v>886.16160000000002</v>
      </c>
      <c r="F20" s="96">
        <f>+N42*(1-$N$38)*0.4</f>
        <v>498.02281920000019</v>
      </c>
      <c r="G20" s="96">
        <f>+O42*(1-$N$38)*0.4</f>
        <v>279.88882439040009</v>
      </c>
      <c r="H20" s="12" t="s">
        <v>149</v>
      </c>
      <c r="I20" s="12"/>
      <c r="J20" s="74"/>
      <c r="K20" s="51" t="s">
        <v>105</v>
      </c>
      <c r="L20" s="52"/>
      <c r="M20" s="53"/>
    </row>
    <row r="21" spans="1:14" x14ac:dyDescent="0.4">
      <c r="B21" s="107" t="s">
        <v>93</v>
      </c>
      <c r="C21" s="105">
        <f>+L53</f>
        <v>-3150</v>
      </c>
      <c r="D21" s="105">
        <f>+M53</f>
        <v>-360</v>
      </c>
      <c r="E21" s="105">
        <f>+N53</f>
        <v>510</v>
      </c>
      <c r="F21" s="105">
        <f>+O53</f>
        <v>900</v>
      </c>
      <c r="G21" s="93">
        <f>+P53</f>
        <v>2100</v>
      </c>
      <c r="H21" s="12" t="s">
        <v>150</v>
      </c>
      <c r="I21" s="12"/>
      <c r="J21" s="75"/>
      <c r="K21" s="78" t="s">
        <v>89</v>
      </c>
      <c r="L21" s="55"/>
      <c r="M21" s="54"/>
    </row>
    <row r="22" spans="1:14" x14ac:dyDescent="0.4">
      <c r="B22" s="107" t="s">
        <v>94</v>
      </c>
      <c r="C22" s="62"/>
      <c r="D22" s="62"/>
      <c r="E22" s="62"/>
      <c r="F22" s="62"/>
      <c r="G22" s="93">
        <f>+SUM(L58:N58,M60:N60)</f>
        <v>8542</v>
      </c>
      <c r="H22" s="12" t="s">
        <v>151</v>
      </c>
      <c r="I22" s="12"/>
      <c r="J22" s="4" t="s">
        <v>56</v>
      </c>
    </row>
    <row r="23" spans="1:14" x14ac:dyDescent="0.4">
      <c r="B23" s="12" t="s">
        <v>98</v>
      </c>
      <c r="C23" s="62">
        <f>+SUM(C13:C22)</f>
        <v>-23650</v>
      </c>
      <c r="D23" s="62">
        <f>+SUM(D18:D22)</f>
        <v>5065.8</v>
      </c>
      <c r="E23" s="62">
        <f>+SUM(E18:E22)</f>
        <v>6001.1616000000004</v>
      </c>
      <c r="F23" s="62">
        <f>+SUM(F18:F22)</f>
        <v>4932.0228192000004</v>
      </c>
      <c r="G23" s="62">
        <f>+SUM(G18:G22)</f>
        <v>12565.8888243904</v>
      </c>
      <c r="H23" s="12"/>
      <c r="I23" s="12"/>
      <c r="M23" s="87"/>
    </row>
    <row r="24" spans="1:14" x14ac:dyDescent="0.4">
      <c r="B24" s="12" t="s">
        <v>1</v>
      </c>
      <c r="C24" s="12">
        <v>1</v>
      </c>
      <c r="D24" s="64">
        <v>0.92589999999999995</v>
      </c>
      <c r="E24" s="64">
        <v>0.85729999999999995</v>
      </c>
      <c r="F24" s="64">
        <v>0.79379999999999995</v>
      </c>
      <c r="G24" s="64">
        <v>0.73499999999999999</v>
      </c>
      <c r="H24" s="12"/>
      <c r="I24" s="12"/>
      <c r="J24" s="38" t="s">
        <v>106</v>
      </c>
    </row>
    <row r="25" spans="1:14" x14ac:dyDescent="0.4">
      <c r="B25" s="12" t="s">
        <v>9</v>
      </c>
      <c r="C25" s="12">
        <f>+C23*C24</f>
        <v>-23650</v>
      </c>
      <c r="D25" s="12">
        <f>+D23*D24</f>
        <v>4690.4242199999999</v>
      </c>
      <c r="E25" s="12">
        <f>+E23*E24</f>
        <v>5144.7958396800004</v>
      </c>
      <c r="F25" s="12">
        <f>+F23*F24</f>
        <v>3915.0397138809599</v>
      </c>
      <c r="G25" s="12">
        <f>+G23*G24</f>
        <v>9235.9282859269442</v>
      </c>
      <c r="H25" s="12"/>
      <c r="I25" s="12"/>
    </row>
    <row r="26" spans="1:14" x14ac:dyDescent="0.4">
      <c r="B26" s="12" t="s">
        <v>79</v>
      </c>
      <c r="C26" s="82">
        <f>+SUM(C25:G25)</f>
        <v>-663.81194051209422</v>
      </c>
      <c r="D26" s="12"/>
      <c r="E26" s="12"/>
      <c r="F26" s="12"/>
      <c r="G26" s="12"/>
      <c r="H26" s="12"/>
      <c r="I26" s="12"/>
      <c r="J26" s="30"/>
      <c r="K26" s="30" t="s">
        <v>107</v>
      </c>
      <c r="L26" s="88">
        <v>0.5</v>
      </c>
      <c r="M26" s="85">
        <v>0.09</v>
      </c>
      <c r="N26" s="86">
        <f>+M26*0.6</f>
        <v>5.3999999999999999E-2</v>
      </c>
    </row>
    <row r="27" spans="1:14" x14ac:dyDescent="0.4">
      <c r="B27" s="12"/>
      <c r="C27" s="12"/>
      <c r="D27" s="12">
        <f>4.5*7000*0.35</f>
        <v>11025</v>
      </c>
      <c r="E27" s="12"/>
      <c r="F27" s="12"/>
      <c r="G27" s="12"/>
      <c r="H27" s="12"/>
      <c r="I27" s="12"/>
      <c r="J27" s="40"/>
      <c r="K27" s="29"/>
      <c r="L27" s="89"/>
    </row>
    <row r="28" spans="1:14" x14ac:dyDescent="0.4">
      <c r="B28" s="12"/>
      <c r="C28" s="12"/>
      <c r="D28" s="12"/>
      <c r="E28" s="12"/>
      <c r="F28" s="12"/>
      <c r="G28" s="12"/>
      <c r="H28" s="12"/>
      <c r="I28" s="12"/>
      <c r="J28" s="40"/>
      <c r="K28" s="84" t="s">
        <v>108</v>
      </c>
      <c r="L28" s="90">
        <v>0.1</v>
      </c>
      <c r="M28" s="85">
        <v>0.09</v>
      </c>
    </row>
    <row r="29" spans="1:14" x14ac:dyDescent="0.4">
      <c r="A29" s="4" t="s">
        <v>109</v>
      </c>
      <c r="B29" s="12" t="s">
        <v>110</v>
      </c>
      <c r="C29" s="12"/>
      <c r="D29" s="12"/>
      <c r="E29" s="12"/>
      <c r="F29" s="12"/>
      <c r="G29" s="12"/>
      <c r="H29" s="12"/>
      <c r="I29" s="12"/>
      <c r="J29" s="40"/>
      <c r="K29" s="30"/>
      <c r="L29" s="88"/>
    </row>
    <row r="30" spans="1:14" x14ac:dyDescent="0.4">
      <c r="C30" s="92">
        <f>+L26*N26+L28*M28+L30*M30</f>
        <v>0.08</v>
      </c>
      <c r="D30" s="12"/>
      <c r="E30" s="12"/>
      <c r="F30" s="12"/>
      <c r="G30" s="12"/>
      <c r="H30" s="12"/>
      <c r="I30" s="12"/>
      <c r="J30" s="29"/>
      <c r="K30" s="29"/>
      <c r="L30" s="89">
        <v>0.4</v>
      </c>
      <c r="M30" s="85">
        <v>0.11</v>
      </c>
    </row>
    <row r="31" spans="1:14" x14ac:dyDescent="0.4">
      <c r="B31" s="12"/>
      <c r="C31" s="12"/>
      <c r="D31" s="12"/>
      <c r="E31" s="12"/>
      <c r="F31" s="12"/>
      <c r="G31" s="12"/>
      <c r="H31" s="12"/>
      <c r="I31" s="12"/>
    </row>
    <row r="32" spans="1:14" x14ac:dyDescent="0.4">
      <c r="A32" s="4" t="s">
        <v>13</v>
      </c>
      <c r="B32" s="12" t="s">
        <v>117</v>
      </c>
      <c r="C32" s="12"/>
      <c r="D32" s="12" t="s">
        <v>120</v>
      </c>
      <c r="E32" s="12" t="s">
        <v>122</v>
      </c>
      <c r="F32" s="12" t="s">
        <v>124</v>
      </c>
      <c r="G32" s="12" t="s">
        <v>126</v>
      </c>
      <c r="H32" s="12"/>
      <c r="J32" s="38" t="s">
        <v>28</v>
      </c>
      <c r="M32" s="4" t="s">
        <v>80</v>
      </c>
      <c r="N32" s="4" t="s">
        <v>81</v>
      </c>
    </row>
    <row r="33" spans="1:16" x14ac:dyDescent="0.4">
      <c r="B33" s="12"/>
      <c r="C33" s="12" t="s">
        <v>51</v>
      </c>
      <c r="D33" s="12">
        <f>+M37</f>
        <v>585</v>
      </c>
      <c r="E33" s="12">
        <f>+D33</f>
        <v>585</v>
      </c>
      <c r="F33" s="12">
        <f>+E33</f>
        <v>585</v>
      </c>
      <c r="G33" s="12">
        <f>+F33</f>
        <v>585</v>
      </c>
      <c r="H33" s="12"/>
      <c r="J33" s="12"/>
      <c r="K33" s="12"/>
      <c r="L33" s="12" t="s">
        <v>69</v>
      </c>
      <c r="M33" s="12" t="s">
        <v>51</v>
      </c>
      <c r="N33" s="12" t="s">
        <v>52</v>
      </c>
    </row>
    <row r="34" spans="1:16" x14ac:dyDescent="0.4">
      <c r="B34" s="12"/>
      <c r="C34" s="12" t="s">
        <v>52</v>
      </c>
      <c r="D34" s="12">
        <f>+L42-M42</f>
        <v>3941.9999999999991</v>
      </c>
      <c r="E34" s="12">
        <f>+M42-N42</f>
        <v>2215.404</v>
      </c>
      <c r="F34" s="12">
        <f>+N42-O42</f>
        <v>1245.0570480000003</v>
      </c>
      <c r="G34" s="12">
        <f>+O42-P42</f>
        <v>699.72206097600019</v>
      </c>
      <c r="H34" s="12"/>
      <c r="J34" s="12" t="s">
        <v>29</v>
      </c>
      <c r="K34" s="12"/>
      <c r="L34" s="12">
        <v>5000</v>
      </c>
      <c r="M34" s="12">
        <v>6500</v>
      </c>
      <c r="N34" s="12">
        <v>9000</v>
      </c>
    </row>
    <row r="35" spans="1:16" x14ac:dyDescent="0.4">
      <c r="B35" s="12"/>
      <c r="C35" s="12" t="s">
        <v>128</v>
      </c>
      <c r="D35" s="102">
        <f>+SUM(D33:D34)</f>
        <v>4526.9999999999991</v>
      </c>
      <c r="E35" s="102">
        <f>+SUM(E33:E34)</f>
        <v>2800.404</v>
      </c>
      <c r="F35" s="102">
        <f>+SUM(F33:F34)</f>
        <v>1830.0570480000003</v>
      </c>
      <c r="G35" s="102">
        <f>+SUM(G33:G34)</f>
        <v>1284.7220609760002</v>
      </c>
      <c r="H35" s="12"/>
      <c r="J35" s="12" t="s">
        <v>30</v>
      </c>
      <c r="K35" s="12"/>
      <c r="L35" s="12"/>
      <c r="M35" s="12">
        <v>650</v>
      </c>
      <c r="N35" s="12">
        <v>900</v>
      </c>
    </row>
    <row r="36" spans="1:16" x14ac:dyDescent="0.4">
      <c r="B36" s="12"/>
      <c r="C36" s="12"/>
      <c r="D36" s="12"/>
      <c r="E36" s="12"/>
      <c r="F36" s="12"/>
      <c r="G36" s="12"/>
      <c r="H36" s="12"/>
      <c r="J36" s="12" t="s">
        <v>31</v>
      </c>
      <c r="K36" s="12"/>
      <c r="L36" s="12"/>
      <c r="M36" s="12">
        <v>10</v>
      </c>
      <c r="N36" s="12">
        <v>4</v>
      </c>
    </row>
    <row r="37" spans="1:16" x14ac:dyDescent="0.4">
      <c r="A37" s="4" t="s">
        <v>14</v>
      </c>
      <c r="B37" s="12" t="s">
        <v>129</v>
      </c>
      <c r="C37" s="12"/>
      <c r="D37" s="12"/>
      <c r="E37" s="12"/>
      <c r="F37" s="12"/>
      <c r="G37" s="12"/>
      <c r="H37" s="12"/>
      <c r="J37" s="12" t="s">
        <v>32</v>
      </c>
      <c r="K37" s="12"/>
      <c r="L37" s="12"/>
      <c r="M37" s="102">
        <f>+(M34-M35)/M36</f>
        <v>585</v>
      </c>
      <c r="N37" s="12" t="s">
        <v>91</v>
      </c>
    </row>
    <row r="38" spans="1:16" x14ac:dyDescent="0.4">
      <c r="B38" s="12"/>
      <c r="C38" s="12"/>
      <c r="D38" s="12">
        <f>+SUM(D18:D21)</f>
        <v>5065.8</v>
      </c>
      <c r="E38" s="82">
        <f>+SUM(E18:E21)</f>
        <v>6001.1616000000004</v>
      </c>
      <c r="F38" s="12">
        <f>+SUM(F18:F21)</f>
        <v>4932.0228192000004</v>
      </c>
      <c r="G38" s="12">
        <f>+SUM(G18:G21)</f>
        <v>4023.8888243904003</v>
      </c>
      <c r="H38" s="12"/>
      <c r="J38" s="12" t="s">
        <v>96</v>
      </c>
      <c r="K38" s="12"/>
      <c r="L38" s="12"/>
      <c r="M38" s="12"/>
      <c r="N38" s="80">
        <v>0.56200000000000006</v>
      </c>
    </row>
    <row r="39" spans="1:16" x14ac:dyDescent="0.4">
      <c r="B39" s="12"/>
      <c r="C39" s="12"/>
      <c r="D39" s="12"/>
      <c r="E39" s="12"/>
      <c r="F39" s="12"/>
      <c r="G39" s="12"/>
      <c r="H39" s="12"/>
      <c r="J39" s="12"/>
      <c r="K39" s="12"/>
      <c r="L39" s="12"/>
      <c r="M39" s="12"/>
      <c r="N39" s="12"/>
    </row>
    <row r="40" spans="1:16" x14ac:dyDescent="0.4">
      <c r="A40" s="4" t="s">
        <v>132</v>
      </c>
      <c r="B40" s="12" t="s">
        <v>133</v>
      </c>
      <c r="C40" s="12"/>
      <c r="D40" s="12"/>
      <c r="E40" s="12"/>
      <c r="F40" s="12"/>
      <c r="G40" s="12"/>
      <c r="H40" s="12"/>
      <c r="J40" s="38" t="s">
        <v>140</v>
      </c>
    </row>
    <row r="41" spans="1:16" x14ac:dyDescent="0.4">
      <c r="B41" s="12"/>
      <c r="C41" s="97">
        <f>+SUM(L58:N58,L60:N60,P53)</f>
        <v>10642</v>
      </c>
      <c r="D41" s="12"/>
      <c r="E41" s="12"/>
      <c r="F41" s="12"/>
      <c r="G41" s="12"/>
      <c r="H41" s="12"/>
      <c r="J41" s="38"/>
      <c r="L41" s="4" t="s">
        <v>118</v>
      </c>
      <c r="M41" s="4" t="s">
        <v>120</v>
      </c>
      <c r="N41" s="4" t="s">
        <v>122</v>
      </c>
      <c r="O41" s="4" t="s">
        <v>124</v>
      </c>
      <c r="P41" s="4" t="s">
        <v>126</v>
      </c>
    </row>
    <row r="42" spans="1:16" x14ac:dyDescent="0.4">
      <c r="B42" s="12"/>
      <c r="C42" s="12"/>
      <c r="D42" s="12"/>
      <c r="E42" s="12"/>
      <c r="F42" s="12"/>
      <c r="G42" s="12"/>
      <c r="H42" s="12"/>
      <c r="L42" s="102">
        <f>+N34</f>
        <v>9000</v>
      </c>
      <c r="M42" s="102">
        <f>+L42*$N$38</f>
        <v>5058.0000000000009</v>
      </c>
      <c r="N42" s="102">
        <f>+M42*$N$38</f>
        <v>2842.5960000000009</v>
      </c>
      <c r="O42" s="102">
        <f>+N42*$N$38</f>
        <v>1597.5389520000006</v>
      </c>
      <c r="P42" s="102">
        <f>+O42*$N$38</f>
        <v>897.81689102400037</v>
      </c>
    </row>
    <row r="43" spans="1:16" x14ac:dyDescent="0.4">
      <c r="A43" s="4" t="s">
        <v>134</v>
      </c>
      <c r="B43" s="12" t="s">
        <v>135</v>
      </c>
      <c r="C43" s="12"/>
      <c r="D43" s="12"/>
      <c r="E43" s="12"/>
      <c r="F43" s="12"/>
      <c r="G43" s="12"/>
      <c r="H43" s="12"/>
      <c r="J43" s="12"/>
      <c r="K43" s="12"/>
      <c r="L43" s="12"/>
      <c r="M43" s="12"/>
      <c r="N43" s="12"/>
    </row>
    <row r="44" spans="1:16" x14ac:dyDescent="0.4">
      <c r="B44" s="98" t="s">
        <v>136</v>
      </c>
      <c r="C44" s="82">
        <f>+C26</f>
        <v>-663.81194051209422</v>
      </c>
      <c r="D44" s="12" t="s">
        <v>137</v>
      </c>
      <c r="E44" s="12"/>
      <c r="F44" s="12"/>
      <c r="G44" s="12"/>
      <c r="H44" s="12"/>
      <c r="J44" s="99" t="s">
        <v>111</v>
      </c>
      <c r="L44" s="12"/>
      <c r="M44" s="12"/>
      <c r="N44" s="12"/>
      <c r="O44" s="12"/>
      <c r="P44" s="12"/>
    </row>
    <row r="45" spans="1:16" x14ac:dyDescent="0.4">
      <c r="B45" s="12"/>
      <c r="C45" s="12"/>
      <c r="D45" s="12"/>
      <c r="E45" s="12"/>
      <c r="F45" s="12"/>
      <c r="G45" s="12"/>
      <c r="H45" s="12"/>
      <c r="M45" s="4">
        <v>7000</v>
      </c>
      <c r="N45" s="4">
        <v>7800</v>
      </c>
      <c r="O45" s="4">
        <v>7500</v>
      </c>
      <c r="P45" s="4">
        <v>6000</v>
      </c>
    </row>
    <row r="46" spans="1:16" x14ac:dyDescent="0.4">
      <c r="A46" s="4" t="s">
        <v>138</v>
      </c>
      <c r="B46" s="12" t="s">
        <v>139</v>
      </c>
      <c r="C46" s="12"/>
      <c r="D46" s="12"/>
      <c r="E46" s="12"/>
      <c r="F46" s="12"/>
      <c r="G46" s="12"/>
      <c r="H46" s="12"/>
      <c r="M46" s="23">
        <v>4.5</v>
      </c>
      <c r="N46" s="23">
        <v>4.5</v>
      </c>
      <c r="O46" s="23">
        <v>4</v>
      </c>
      <c r="P46" s="23">
        <v>3.5</v>
      </c>
    </row>
    <row r="47" spans="1:16" x14ac:dyDescent="0.4">
      <c r="B47" s="12"/>
      <c r="C47" s="92">
        <f>+IRR(C23:G23)</f>
        <v>6.8999444303876389E-2</v>
      </c>
      <c r="D47" s="12"/>
      <c r="E47" s="12"/>
      <c r="F47" s="12"/>
      <c r="G47" s="12"/>
      <c r="H47" s="12"/>
      <c r="M47" s="4">
        <f>+M45*M46</f>
        <v>31500</v>
      </c>
      <c r="N47" s="4">
        <f>+N45*N46</f>
        <v>35100</v>
      </c>
      <c r="O47" s="4">
        <f>+O45*O46</f>
        <v>30000</v>
      </c>
      <c r="P47" s="4">
        <f>+P45*P46</f>
        <v>21000</v>
      </c>
    </row>
    <row r="48" spans="1:16" x14ac:dyDescent="0.4">
      <c r="B48" s="12"/>
      <c r="C48" s="12"/>
      <c r="D48" s="12"/>
      <c r="E48" s="12"/>
      <c r="F48" s="12"/>
      <c r="G48" s="12"/>
      <c r="H48" s="12"/>
      <c r="J48" s="38" t="s">
        <v>114</v>
      </c>
    </row>
    <row r="49" spans="2:20" x14ac:dyDescent="0.4">
      <c r="B49" s="12"/>
      <c r="C49" s="12"/>
      <c r="D49" s="12"/>
      <c r="E49" s="12"/>
      <c r="F49" s="12"/>
      <c r="G49" s="12"/>
      <c r="J49" s="12" t="s">
        <v>65</v>
      </c>
      <c r="K49" s="91">
        <v>0.08</v>
      </c>
      <c r="L49" s="4">
        <f t="shared" ref="L49:O50" si="0">+M$47*$K49</f>
        <v>2520</v>
      </c>
      <c r="M49" s="4">
        <f t="shared" si="0"/>
        <v>2808</v>
      </c>
      <c r="N49" s="4">
        <f t="shared" si="0"/>
        <v>2400</v>
      </c>
      <c r="O49" s="4">
        <f t="shared" si="0"/>
        <v>1680</v>
      </c>
      <c r="P49" s="4">
        <v>0</v>
      </c>
    </row>
    <row r="50" spans="2:20" x14ac:dyDescent="0.4">
      <c r="B50" s="12"/>
      <c r="C50" s="12"/>
      <c r="D50" s="12"/>
      <c r="E50" s="12"/>
      <c r="F50" s="12"/>
      <c r="G50" s="12"/>
      <c r="J50" s="12" t="s">
        <v>66</v>
      </c>
      <c r="K50" s="91">
        <v>0.06</v>
      </c>
      <c r="L50" s="4">
        <f t="shared" si="0"/>
        <v>1890</v>
      </c>
      <c r="M50" s="4">
        <f t="shared" si="0"/>
        <v>2106</v>
      </c>
      <c r="N50" s="4">
        <f t="shared" si="0"/>
        <v>1800</v>
      </c>
      <c r="O50" s="4">
        <f t="shared" si="0"/>
        <v>1260</v>
      </c>
      <c r="P50" s="4">
        <v>0</v>
      </c>
    </row>
    <row r="51" spans="2:20" x14ac:dyDescent="0.4">
      <c r="J51" s="12" t="s">
        <v>67</v>
      </c>
      <c r="K51" s="91">
        <v>0.04</v>
      </c>
      <c r="L51" s="4">
        <f>-M$47*$K51</f>
        <v>-1260</v>
      </c>
      <c r="M51" s="4">
        <f>-N$47*$K51</f>
        <v>-1404</v>
      </c>
      <c r="N51" s="4">
        <f>-O$47*$K51</f>
        <v>-1200</v>
      </c>
      <c r="O51" s="4">
        <f>-P$47*$K51</f>
        <v>-840</v>
      </c>
      <c r="P51" s="4">
        <v>0</v>
      </c>
      <c r="S51" s="38"/>
    </row>
    <row r="52" spans="2:20" x14ac:dyDescent="0.4">
      <c r="J52" s="4" t="s">
        <v>115</v>
      </c>
      <c r="L52" s="4">
        <f>+SUM(L49:L51)</f>
        <v>3150</v>
      </c>
      <c r="M52" s="4">
        <f>+SUM(M49:M51)</f>
        <v>3510</v>
      </c>
      <c r="N52" s="4">
        <f>+SUM(N49:N51)</f>
        <v>3000</v>
      </c>
      <c r="O52" s="4">
        <f>+SUM(O49:O51)</f>
        <v>2100</v>
      </c>
      <c r="P52" s="4">
        <v>0</v>
      </c>
      <c r="S52" s="12"/>
      <c r="T52" s="12"/>
    </row>
    <row r="53" spans="2:20" x14ac:dyDescent="0.4">
      <c r="J53" s="4" t="s">
        <v>116</v>
      </c>
      <c r="L53" s="103">
        <f>-L52</f>
        <v>-3150</v>
      </c>
      <c r="M53" s="103">
        <f>-M52+L52</f>
        <v>-360</v>
      </c>
      <c r="N53" s="103">
        <f>-N52+M52</f>
        <v>510</v>
      </c>
      <c r="O53" s="103">
        <f>-O52+N52</f>
        <v>900</v>
      </c>
      <c r="P53" s="97">
        <f>-P52+O52</f>
        <v>2100</v>
      </c>
      <c r="S53" s="12"/>
      <c r="T53" s="91"/>
    </row>
    <row r="54" spans="2:20" x14ac:dyDescent="0.4">
      <c r="S54" s="12"/>
      <c r="T54" s="91"/>
    </row>
    <row r="55" spans="2:20" x14ac:dyDescent="0.4">
      <c r="J55" s="99" t="s">
        <v>68</v>
      </c>
      <c r="K55" s="12"/>
      <c r="L55" s="12"/>
      <c r="M55" s="12"/>
      <c r="N55" s="12"/>
      <c r="S55" s="12"/>
      <c r="T55" s="91"/>
    </row>
    <row r="56" spans="2:20" x14ac:dyDescent="0.4">
      <c r="J56" s="12"/>
      <c r="K56" s="12"/>
      <c r="L56" s="63" t="s">
        <v>69</v>
      </c>
      <c r="M56" s="12" t="s">
        <v>51</v>
      </c>
      <c r="N56" s="12" t="s">
        <v>52</v>
      </c>
    </row>
    <row r="57" spans="2:20" x14ac:dyDescent="0.4">
      <c r="J57" s="12" t="s">
        <v>70</v>
      </c>
      <c r="K57" s="12"/>
      <c r="L57" s="63">
        <f>+L34</f>
        <v>5000</v>
      </c>
      <c r="M57" s="63">
        <f>+M34-M37*4</f>
        <v>4160</v>
      </c>
      <c r="N57" s="12">
        <v>900</v>
      </c>
    </row>
    <row r="58" spans="2:20" x14ac:dyDescent="0.4">
      <c r="J58" s="12" t="s">
        <v>71</v>
      </c>
      <c r="K58" s="12"/>
      <c r="L58" s="104">
        <f>+L57</f>
        <v>5000</v>
      </c>
      <c r="M58" s="104">
        <f>+M57*0.5</f>
        <v>2080</v>
      </c>
      <c r="N58" s="104">
        <f>+N57*0.5</f>
        <v>450</v>
      </c>
    </row>
    <row r="59" spans="2:20" x14ac:dyDescent="0.4">
      <c r="J59" s="12" t="s">
        <v>72</v>
      </c>
      <c r="K59" s="12"/>
      <c r="L59" s="63">
        <f>+L58-L57</f>
        <v>0</v>
      </c>
      <c r="M59" s="63">
        <f>+M58-M57</f>
        <v>-2080</v>
      </c>
      <c r="N59" s="63">
        <f>+N58-N57</f>
        <v>-450</v>
      </c>
    </row>
    <row r="60" spans="2:20" x14ac:dyDescent="0.4">
      <c r="J60" s="12" t="s">
        <v>73</v>
      </c>
      <c r="K60" s="12"/>
      <c r="L60" s="104">
        <f>-L59*0.4</f>
        <v>0</v>
      </c>
      <c r="M60" s="104">
        <f>-M59*0.4</f>
        <v>832</v>
      </c>
      <c r="N60" s="104">
        <f>-N59*0.4</f>
        <v>180</v>
      </c>
    </row>
  </sheetData>
  <phoneticPr fontId="3"/>
  <pageMargins left="0.25" right="0.25" top="0.75" bottom="0.75" header="0.3" footer="0.3"/>
  <pageSetup paperSize="9" scale="6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7"/>
  <sheetViews>
    <sheetView zoomScale="90" zoomScaleNormal="90" workbookViewId="0">
      <selection activeCell="I27" sqref="I27"/>
    </sheetView>
  </sheetViews>
  <sheetFormatPr defaultColWidth="12" defaultRowHeight="16.2" x14ac:dyDescent="0.4"/>
  <cols>
    <col min="1" max="1" width="12.109375" style="4" customWidth="1"/>
    <col min="2" max="5" width="13.109375" style="4" customWidth="1"/>
    <col min="6" max="7" width="12.6640625" style="4" customWidth="1"/>
    <col min="8" max="10" width="13.109375" style="4" customWidth="1"/>
    <col min="11" max="11" width="12" style="4"/>
    <col min="12" max="12" width="11.88671875" style="4" customWidth="1"/>
    <col min="13" max="16384" width="12" style="4"/>
  </cols>
  <sheetData>
    <row r="1" spans="1:19" x14ac:dyDescent="0.4">
      <c r="A1" s="1" t="s">
        <v>302</v>
      </c>
      <c r="B1" s="2"/>
      <c r="C1" s="2"/>
      <c r="D1" s="2"/>
      <c r="E1" s="2"/>
      <c r="F1" s="2"/>
      <c r="G1" s="2"/>
      <c r="H1" s="2"/>
      <c r="I1" s="2"/>
      <c r="J1" s="2"/>
      <c r="K1" s="2"/>
      <c r="L1" s="2"/>
      <c r="M1" s="2"/>
      <c r="N1" s="2"/>
      <c r="O1" s="2"/>
      <c r="P1" s="2"/>
      <c r="Q1" s="3"/>
    </row>
    <row r="2" spans="1:19" x14ac:dyDescent="0.4">
      <c r="A2" s="5" t="s">
        <v>311</v>
      </c>
      <c r="B2" s="6"/>
      <c r="C2" s="6"/>
      <c r="D2" s="6"/>
      <c r="E2" s="6"/>
      <c r="F2" s="6"/>
      <c r="G2" s="6"/>
      <c r="H2" s="6"/>
      <c r="I2" s="6"/>
      <c r="J2" s="6"/>
      <c r="K2" s="6"/>
      <c r="L2" s="6"/>
      <c r="M2" s="6"/>
      <c r="N2" s="6"/>
      <c r="O2" s="6"/>
      <c r="P2" s="6"/>
      <c r="Q2" s="7"/>
    </row>
    <row r="3" spans="1:19" x14ac:dyDescent="0.4">
      <c r="A3" s="8" t="s">
        <v>152</v>
      </c>
      <c r="B3" s="9"/>
      <c r="C3" s="9"/>
      <c r="D3" s="9"/>
      <c r="E3" s="9"/>
      <c r="F3" s="9"/>
      <c r="G3" s="9"/>
      <c r="H3" s="9"/>
      <c r="I3" s="9"/>
      <c r="J3" s="9"/>
      <c r="K3" s="9"/>
      <c r="L3" s="9"/>
      <c r="M3" s="9"/>
      <c r="N3" s="9"/>
      <c r="O3" s="9"/>
      <c r="P3" s="9"/>
      <c r="Q3" s="10"/>
    </row>
    <row r="4" spans="1:19" s="12" customFormat="1" x14ac:dyDescent="0.4">
      <c r="A4" s="11"/>
      <c r="B4" s="11"/>
      <c r="C4" s="11"/>
      <c r="D4" s="11"/>
      <c r="E4" s="11"/>
      <c r="F4" s="11"/>
      <c r="G4" s="11"/>
      <c r="H4" s="11"/>
      <c r="I4" s="11"/>
      <c r="J4" s="11"/>
      <c r="K4" s="11"/>
      <c r="L4" s="11"/>
      <c r="M4" s="11"/>
      <c r="N4" s="11"/>
      <c r="O4" s="11"/>
      <c r="P4" s="11"/>
      <c r="Q4" s="11"/>
    </row>
    <row r="5" spans="1:19" ht="18" customHeight="1" x14ac:dyDescent="0.4">
      <c r="A5" s="13" t="s">
        <v>0</v>
      </c>
      <c r="B5" s="14"/>
      <c r="C5" s="14"/>
      <c r="D5" s="14"/>
      <c r="E5" s="14"/>
      <c r="F5" s="14"/>
      <c r="G5" s="14"/>
      <c r="H5" s="14"/>
      <c r="I5" s="14"/>
      <c r="J5" s="14"/>
      <c r="K5" s="14"/>
      <c r="L5" s="14"/>
      <c r="M5" s="14"/>
      <c r="N5" s="14"/>
      <c r="O5" s="14"/>
      <c r="P5" s="14"/>
      <c r="Q5" s="14"/>
      <c r="R5" s="15"/>
    </row>
    <row r="6" spans="1:19" x14ac:dyDescent="0.4">
      <c r="A6" s="16" t="s">
        <v>153</v>
      </c>
      <c r="B6" s="17"/>
      <c r="C6" s="17"/>
      <c r="D6" s="17"/>
      <c r="E6" s="17"/>
      <c r="F6" s="17"/>
      <c r="G6" s="17"/>
      <c r="H6" s="17"/>
      <c r="I6" s="17"/>
      <c r="J6" s="17"/>
      <c r="K6" s="17"/>
      <c r="L6" s="17"/>
      <c r="M6" s="17"/>
      <c r="N6" s="17"/>
      <c r="O6" s="17"/>
      <c r="P6" s="17"/>
      <c r="Q6" s="17"/>
      <c r="R6" s="18"/>
    </row>
    <row r="7" spans="1:19" x14ac:dyDescent="0.4">
      <c r="A7" s="19" t="s">
        <v>186</v>
      </c>
      <c r="B7" s="20"/>
      <c r="C7" s="20"/>
      <c r="D7" s="20"/>
      <c r="E7" s="20"/>
      <c r="F7" s="20"/>
      <c r="G7" s="20"/>
      <c r="H7" s="20"/>
      <c r="I7" s="46"/>
      <c r="J7" s="20"/>
      <c r="K7" s="20"/>
      <c r="L7" s="20"/>
      <c r="M7" s="20"/>
      <c r="N7" s="20"/>
      <c r="O7" s="20"/>
      <c r="P7" s="20"/>
      <c r="Q7" s="20"/>
      <c r="R7" s="21"/>
    </row>
    <row r="8" spans="1:19" s="12" customFormat="1" ht="17.25" customHeight="1" x14ac:dyDescent="0.4">
      <c r="B8" s="22"/>
      <c r="C8" s="22"/>
      <c r="D8" s="22"/>
      <c r="E8" s="22"/>
      <c r="F8" s="22"/>
      <c r="G8" s="22"/>
      <c r="H8" s="22"/>
      <c r="I8" s="22"/>
      <c r="J8" s="22"/>
      <c r="K8" s="22"/>
      <c r="L8" s="22"/>
      <c r="M8" s="22"/>
      <c r="N8" s="22"/>
      <c r="O8" s="22"/>
      <c r="P8" s="22"/>
      <c r="Q8" s="22"/>
      <c r="R8" s="22"/>
      <c r="S8" s="22"/>
    </row>
    <row r="9" spans="1:19" x14ac:dyDescent="0.4">
      <c r="A9" s="4" t="s">
        <v>154</v>
      </c>
    </row>
    <row r="10" spans="1:19" x14ac:dyDescent="0.4">
      <c r="B10" s="24" t="s">
        <v>163</v>
      </c>
      <c r="C10" s="25" t="s">
        <v>156</v>
      </c>
      <c r="D10" s="25" t="s">
        <v>155</v>
      </c>
      <c r="E10" s="25" t="s">
        <v>62</v>
      </c>
      <c r="F10" s="25" t="s">
        <v>63</v>
      </c>
      <c r="G10" s="25" t="s">
        <v>64</v>
      </c>
      <c r="H10" s="25" t="s">
        <v>157</v>
      </c>
      <c r="I10" s="112" t="s">
        <v>158</v>
      </c>
      <c r="J10" s="113" t="s">
        <v>159</v>
      </c>
      <c r="K10" s="113" t="s">
        <v>160</v>
      </c>
      <c r="L10" s="117" t="s">
        <v>161</v>
      </c>
    </row>
    <row r="11" spans="1:19" x14ac:dyDescent="0.4">
      <c r="C11" s="27"/>
      <c r="D11" s="27"/>
      <c r="E11" s="27"/>
      <c r="F11" s="27"/>
      <c r="G11" s="27"/>
      <c r="H11" s="27"/>
      <c r="I11" s="114"/>
      <c r="J11" s="115"/>
      <c r="K11" s="115"/>
      <c r="L11" s="116"/>
    </row>
    <row r="12" spans="1:19" x14ac:dyDescent="0.4">
      <c r="A12" s="4" t="s">
        <v>162</v>
      </c>
      <c r="B12" s="4">
        <v>10000</v>
      </c>
      <c r="H12" s="4">
        <f>+B12-(B12-L12)/10*6</f>
        <v>4600</v>
      </c>
      <c r="L12" s="4">
        <v>1000</v>
      </c>
    </row>
    <row r="13" spans="1:19" x14ac:dyDescent="0.4">
      <c r="G13" s="4" t="s">
        <v>71</v>
      </c>
      <c r="H13" s="4">
        <v>2000</v>
      </c>
      <c r="L13" s="4">
        <v>400</v>
      </c>
      <c r="M13" s="4" t="s">
        <v>180</v>
      </c>
    </row>
    <row r="14" spans="1:19" x14ac:dyDescent="0.4">
      <c r="G14" s="4" t="s">
        <v>164</v>
      </c>
      <c r="H14" s="4">
        <f>+H13-H12</f>
        <v>-2600</v>
      </c>
      <c r="L14" s="4">
        <f>+L13-L12</f>
        <v>-600</v>
      </c>
    </row>
    <row r="15" spans="1:19" x14ac:dyDescent="0.4">
      <c r="G15" s="4" t="s">
        <v>165</v>
      </c>
      <c r="H15" s="4">
        <f>-H14*0.4</f>
        <v>1040</v>
      </c>
      <c r="L15" s="4">
        <f>-L14*0.4</f>
        <v>240</v>
      </c>
    </row>
    <row r="17" spans="1:13" x14ac:dyDescent="0.4">
      <c r="A17" s="4" t="s">
        <v>166</v>
      </c>
      <c r="H17" s="24" t="s">
        <v>163</v>
      </c>
      <c r="I17" s="25" t="s">
        <v>156</v>
      </c>
      <c r="J17" s="24" t="s">
        <v>61</v>
      </c>
      <c r="K17" s="25" t="s">
        <v>62</v>
      </c>
      <c r="L17" s="24" t="s">
        <v>63</v>
      </c>
    </row>
    <row r="18" spans="1:13" x14ac:dyDescent="0.4">
      <c r="H18" s="26"/>
      <c r="I18" s="27"/>
      <c r="J18" s="27"/>
      <c r="K18" s="27"/>
      <c r="L18" s="30"/>
    </row>
    <row r="19" spans="1:13" x14ac:dyDescent="0.4">
      <c r="G19" s="118" t="s">
        <v>162</v>
      </c>
      <c r="H19" s="4">
        <v>6000</v>
      </c>
      <c r="L19" s="4">
        <v>600</v>
      </c>
    </row>
    <row r="20" spans="1:13" x14ac:dyDescent="0.4">
      <c r="K20" s="4" t="s">
        <v>71</v>
      </c>
      <c r="L20" s="4">
        <f>+L19+200</f>
        <v>800</v>
      </c>
    </row>
    <row r="21" spans="1:13" x14ac:dyDescent="0.4">
      <c r="K21" s="4" t="s">
        <v>167</v>
      </c>
      <c r="L21" s="4">
        <f>+L20-L19</f>
        <v>200</v>
      </c>
    </row>
    <row r="22" spans="1:13" x14ac:dyDescent="0.4">
      <c r="F22" s="4" t="s">
        <v>176</v>
      </c>
      <c r="K22" s="4" t="s">
        <v>168</v>
      </c>
      <c r="L22" s="4">
        <f>-L21*0.4</f>
        <v>-80</v>
      </c>
    </row>
    <row r="23" spans="1:13" x14ac:dyDescent="0.4">
      <c r="G23" s="4" t="s">
        <v>171</v>
      </c>
      <c r="H23" s="4">
        <f>+H13</f>
        <v>2000</v>
      </c>
    </row>
    <row r="24" spans="1:13" x14ac:dyDescent="0.4">
      <c r="G24" s="4" t="s">
        <v>172</v>
      </c>
      <c r="H24" s="4">
        <f>-H19</f>
        <v>-6000</v>
      </c>
    </row>
    <row r="25" spans="1:13" x14ac:dyDescent="0.4">
      <c r="G25" s="4" t="s">
        <v>177</v>
      </c>
      <c r="I25" s="4">
        <v>-2400</v>
      </c>
      <c r="J25" s="4">
        <f>+I25</f>
        <v>-2400</v>
      </c>
      <c r="K25" s="4">
        <f>+J25</f>
        <v>-2400</v>
      </c>
      <c r="L25" s="4">
        <f>+K25</f>
        <v>-2400</v>
      </c>
    </row>
    <row r="26" spans="1:13" x14ac:dyDescent="0.4">
      <c r="G26" s="4" t="s">
        <v>174</v>
      </c>
      <c r="L26" s="4">
        <f>+L20</f>
        <v>800</v>
      </c>
    </row>
    <row r="27" spans="1:13" x14ac:dyDescent="0.4">
      <c r="G27" s="4" t="s">
        <v>175</v>
      </c>
      <c r="H27" s="4">
        <f>+SUM(H23:H26)</f>
        <v>-4000</v>
      </c>
      <c r="I27" s="4">
        <f>+SUM(I23:I26)</f>
        <v>-2400</v>
      </c>
      <c r="J27" s="4">
        <f>+SUM(J23:J26)</f>
        <v>-2400</v>
      </c>
      <c r="K27" s="4">
        <f>+SUM(K23:K26)</f>
        <v>-2400</v>
      </c>
      <c r="L27" s="4">
        <f>+SUM(L23:L26)</f>
        <v>-1600</v>
      </c>
    </row>
    <row r="28" spans="1:13" x14ac:dyDescent="0.4">
      <c r="G28" s="4" t="s">
        <v>9</v>
      </c>
      <c r="H28" s="4">
        <f>+H27</f>
        <v>-4000</v>
      </c>
      <c r="I28" s="4">
        <f>+I27*I30</f>
        <v>-2142.96</v>
      </c>
      <c r="J28" s="4">
        <f>+J27*J30</f>
        <v>-1913.28</v>
      </c>
      <c r="K28" s="4">
        <f>+K27*K30</f>
        <v>-1708.32</v>
      </c>
      <c r="L28" s="4">
        <f>+L27*L30</f>
        <v>-1016.8</v>
      </c>
    </row>
    <row r="29" spans="1:13" x14ac:dyDescent="0.4">
      <c r="G29" s="4" t="s">
        <v>169</v>
      </c>
      <c r="I29" s="245">
        <f>+SUM(I30:L30)</f>
        <v>3.0374000000000003</v>
      </c>
      <c r="J29" s="246"/>
      <c r="K29" s="246"/>
      <c r="L29" s="247"/>
      <c r="M29" s="4" t="s">
        <v>170</v>
      </c>
    </row>
    <row r="30" spans="1:13" x14ac:dyDescent="0.4">
      <c r="G30" s="4" t="s">
        <v>1</v>
      </c>
      <c r="I30" s="119">
        <v>0.89290000000000003</v>
      </c>
      <c r="J30" s="119">
        <v>0.79720000000000002</v>
      </c>
      <c r="K30" s="119">
        <v>0.71179999999999999</v>
      </c>
      <c r="L30" s="119">
        <v>0.63549999999999995</v>
      </c>
    </row>
    <row r="31" spans="1:13" x14ac:dyDescent="0.4">
      <c r="G31" s="4" t="s">
        <v>79</v>
      </c>
      <c r="H31" s="82">
        <f>+SUM(H28:L28)</f>
        <v>-10781.359999999999</v>
      </c>
    </row>
    <row r="33" spans="6:12" x14ac:dyDescent="0.4">
      <c r="F33" s="4" t="s">
        <v>178</v>
      </c>
    </row>
    <row r="34" spans="6:12" x14ac:dyDescent="0.4">
      <c r="G34" s="4" t="s">
        <v>171</v>
      </c>
      <c r="H34" s="4">
        <f>+H13+H15</f>
        <v>3040</v>
      </c>
    </row>
    <row r="35" spans="6:12" x14ac:dyDescent="0.4">
      <c r="G35" s="4" t="s">
        <v>172</v>
      </c>
      <c r="H35" s="4">
        <f>-H19</f>
        <v>-6000</v>
      </c>
    </row>
    <row r="36" spans="6:12" x14ac:dyDescent="0.4">
      <c r="G36" s="4" t="s">
        <v>177</v>
      </c>
      <c r="I36" s="4">
        <f>+I27*0.6</f>
        <v>-1440</v>
      </c>
      <c r="J36" s="4">
        <f t="shared" ref="J36:L37" si="0">+I36</f>
        <v>-1440</v>
      </c>
      <c r="K36" s="4">
        <f t="shared" si="0"/>
        <v>-1440</v>
      </c>
      <c r="L36" s="4">
        <f t="shared" si="0"/>
        <v>-1440</v>
      </c>
    </row>
    <row r="37" spans="6:12" x14ac:dyDescent="0.4">
      <c r="G37" s="4" t="s">
        <v>173</v>
      </c>
      <c r="I37" s="4">
        <f>+(H19-L19)/4*0.4</f>
        <v>540</v>
      </c>
      <c r="J37" s="4">
        <f t="shared" si="0"/>
        <v>540</v>
      </c>
      <c r="K37" s="4">
        <f t="shared" si="0"/>
        <v>540</v>
      </c>
      <c r="L37" s="4">
        <f t="shared" si="0"/>
        <v>540</v>
      </c>
    </row>
    <row r="38" spans="6:12" x14ac:dyDescent="0.4">
      <c r="G38" s="4" t="s">
        <v>174</v>
      </c>
      <c r="L38" s="4">
        <f>+SUM(L20,L22)</f>
        <v>720</v>
      </c>
    </row>
    <row r="39" spans="6:12" x14ac:dyDescent="0.4">
      <c r="G39" s="4" t="s">
        <v>175</v>
      </c>
      <c r="H39" s="4">
        <f>+SUM(H34:H38)</f>
        <v>-2960</v>
      </c>
      <c r="I39" s="4">
        <f>+SUM(I34:I38)</f>
        <v>-900</v>
      </c>
      <c r="J39" s="4">
        <f>+SUM(J34:J38)</f>
        <v>-900</v>
      </c>
      <c r="K39" s="4">
        <f>+SUM(K34:K38)</f>
        <v>-900</v>
      </c>
      <c r="L39" s="4">
        <f>+SUM(L34:L38)</f>
        <v>-180</v>
      </c>
    </row>
    <row r="40" spans="6:12" x14ac:dyDescent="0.4">
      <c r="G40" s="4" t="s">
        <v>9</v>
      </c>
      <c r="H40" s="4">
        <f>+H39</f>
        <v>-2960</v>
      </c>
      <c r="I40" s="4">
        <f>+I39*I30</f>
        <v>-803.61</v>
      </c>
      <c r="J40" s="4">
        <f>+J39*J30</f>
        <v>-717.48</v>
      </c>
      <c r="K40" s="4">
        <f>+K39*K30</f>
        <v>-640.62</v>
      </c>
      <c r="L40" s="4">
        <f>+L39*L30</f>
        <v>-114.38999999999999</v>
      </c>
    </row>
    <row r="41" spans="6:12" x14ac:dyDescent="0.4">
      <c r="G41" s="4" t="s">
        <v>79</v>
      </c>
      <c r="H41" s="82">
        <f>+SUM(H40:L40)</f>
        <v>-5236.1000000000004</v>
      </c>
    </row>
    <row r="43" spans="6:12" x14ac:dyDescent="0.4">
      <c r="F43" s="4" t="s">
        <v>179</v>
      </c>
    </row>
    <row r="44" spans="6:12" x14ac:dyDescent="0.4">
      <c r="G44" s="4" t="s">
        <v>171</v>
      </c>
      <c r="H44" s="4">
        <v>0</v>
      </c>
      <c r="L44" s="4">
        <f>+SUM(L13,L15)</f>
        <v>640</v>
      </c>
    </row>
    <row r="45" spans="6:12" x14ac:dyDescent="0.4">
      <c r="G45" s="4" t="s">
        <v>172</v>
      </c>
      <c r="H45" s="4">
        <v>0</v>
      </c>
    </row>
    <row r="46" spans="6:12" x14ac:dyDescent="0.4">
      <c r="G46" s="4" t="s">
        <v>177</v>
      </c>
      <c r="I46" s="4">
        <f>-4600*0.6</f>
        <v>-2760</v>
      </c>
      <c r="J46" s="4">
        <f t="shared" ref="J46:L47" si="1">+I46</f>
        <v>-2760</v>
      </c>
      <c r="K46" s="4">
        <f t="shared" si="1"/>
        <v>-2760</v>
      </c>
      <c r="L46" s="4">
        <f t="shared" si="1"/>
        <v>-2760</v>
      </c>
    </row>
    <row r="47" spans="6:12" x14ac:dyDescent="0.4">
      <c r="G47" s="4" t="s">
        <v>173</v>
      </c>
      <c r="I47" s="4">
        <f>+(B12-L12)/10*0.4</f>
        <v>360</v>
      </c>
      <c r="J47" s="4">
        <f t="shared" si="1"/>
        <v>360</v>
      </c>
      <c r="K47" s="4">
        <f t="shared" si="1"/>
        <v>360</v>
      </c>
      <c r="L47" s="4">
        <f t="shared" si="1"/>
        <v>360</v>
      </c>
    </row>
    <row r="48" spans="6:12" x14ac:dyDescent="0.4">
      <c r="G48" s="4" t="s">
        <v>174</v>
      </c>
      <c r="L48" s="4">
        <v>0</v>
      </c>
    </row>
    <row r="49" spans="6:12" x14ac:dyDescent="0.4">
      <c r="G49" s="4" t="s">
        <v>175</v>
      </c>
      <c r="I49" s="4">
        <f>+SUM(I44:I48)</f>
        <v>-2400</v>
      </c>
      <c r="J49" s="4">
        <f>+SUM(J44:J48)</f>
        <v>-2400</v>
      </c>
      <c r="K49" s="4">
        <f>+SUM(K44:K48)</f>
        <v>-2400</v>
      </c>
      <c r="L49" s="4">
        <f>+SUM(L44:L48)</f>
        <v>-1760</v>
      </c>
    </row>
    <row r="50" spans="6:12" x14ac:dyDescent="0.4">
      <c r="G50" s="4" t="s">
        <v>9</v>
      </c>
      <c r="I50" s="4">
        <f>+I49*I30</f>
        <v>-2142.96</v>
      </c>
      <c r="J50" s="4">
        <f>+J49*J30</f>
        <v>-1913.28</v>
      </c>
      <c r="K50" s="4">
        <f>+K49*K30</f>
        <v>-1708.32</v>
      </c>
      <c r="L50" s="4">
        <f>+L49*L30</f>
        <v>-1118.48</v>
      </c>
    </row>
    <row r="51" spans="6:12" x14ac:dyDescent="0.4">
      <c r="G51" s="4" t="s">
        <v>79</v>
      </c>
      <c r="H51" s="82">
        <f>+SUM(H50:L50)</f>
        <v>-6883.0399999999991</v>
      </c>
    </row>
    <row r="53" spans="6:12" x14ac:dyDescent="0.4">
      <c r="F53" s="4" t="s">
        <v>181</v>
      </c>
    </row>
    <row r="54" spans="6:12" x14ac:dyDescent="0.4">
      <c r="G54" s="4" t="s">
        <v>182</v>
      </c>
      <c r="H54" s="4">
        <f>+H41-H51</f>
        <v>1646.9399999999987</v>
      </c>
      <c r="I54" s="4" t="s">
        <v>183</v>
      </c>
    </row>
    <row r="56" spans="6:12" x14ac:dyDescent="0.4">
      <c r="F56" s="4" t="s">
        <v>184</v>
      </c>
    </row>
    <row r="57" spans="6:12" x14ac:dyDescent="0.4">
      <c r="H57" s="4" t="s">
        <v>185</v>
      </c>
    </row>
  </sheetData>
  <mergeCells count="1">
    <mergeCell ref="I29:L29"/>
  </mergeCells>
  <phoneticPr fontId="3"/>
  <pageMargins left="0.25" right="0.25" top="0.75" bottom="0.75" header="0.3" footer="0.3"/>
  <pageSetup paperSize="9" scale="6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77"/>
  <sheetViews>
    <sheetView topLeftCell="A13" zoomScale="90" zoomScaleNormal="90" workbookViewId="0">
      <selection activeCell="I27" sqref="I27"/>
    </sheetView>
  </sheetViews>
  <sheetFormatPr defaultColWidth="12" defaultRowHeight="16.2" x14ac:dyDescent="0.4"/>
  <cols>
    <col min="1" max="1" width="12.109375" style="4" customWidth="1"/>
    <col min="2" max="5" width="13.109375" style="4" customWidth="1"/>
    <col min="6" max="7" width="12.6640625" style="4" customWidth="1"/>
    <col min="8" max="10" width="13.109375" style="4" customWidth="1"/>
    <col min="11" max="11" width="12" style="4"/>
    <col min="12" max="12" width="11.88671875" style="4" customWidth="1"/>
    <col min="13" max="16384" width="12" style="4"/>
  </cols>
  <sheetData>
    <row r="1" spans="1:28" x14ac:dyDescent="0.4">
      <c r="A1" s="1" t="s">
        <v>302</v>
      </c>
      <c r="B1" s="2"/>
      <c r="C1" s="2"/>
      <c r="D1" s="2"/>
      <c r="E1" s="2"/>
      <c r="F1" s="2"/>
      <c r="G1" s="2"/>
      <c r="H1" s="2"/>
      <c r="I1" s="2"/>
      <c r="J1" s="2"/>
      <c r="K1" s="2"/>
      <c r="L1" s="2"/>
      <c r="M1" s="2"/>
      <c r="N1" s="2"/>
      <c r="O1" s="2"/>
      <c r="P1" s="2"/>
      <c r="Q1" s="3"/>
    </row>
    <row r="2" spans="1:28" x14ac:dyDescent="0.4">
      <c r="A2" s="5" t="s">
        <v>304</v>
      </c>
      <c r="B2" s="6"/>
      <c r="C2" s="6"/>
      <c r="D2" s="6"/>
      <c r="E2" s="6"/>
      <c r="F2" s="6"/>
      <c r="G2" s="6"/>
      <c r="H2" s="6"/>
      <c r="I2" s="6"/>
      <c r="J2" s="6"/>
      <c r="K2" s="6"/>
      <c r="L2" s="6"/>
      <c r="M2" s="6"/>
      <c r="N2" s="6"/>
      <c r="O2" s="6"/>
      <c r="P2" s="6"/>
      <c r="Q2" s="7"/>
    </row>
    <row r="3" spans="1:28" x14ac:dyDescent="0.4">
      <c r="A3" s="8" t="s">
        <v>589</v>
      </c>
      <c r="B3" s="9"/>
      <c r="C3" s="9"/>
      <c r="D3" s="9"/>
      <c r="E3" s="9"/>
      <c r="F3" s="9"/>
      <c r="G3" s="9"/>
      <c r="H3" s="9"/>
      <c r="I3" s="9"/>
      <c r="J3" s="9"/>
      <c r="K3" s="9"/>
      <c r="L3" s="9"/>
      <c r="M3" s="9"/>
      <c r="N3" s="9"/>
      <c r="O3" s="9"/>
      <c r="P3" s="9"/>
      <c r="Q3" s="10"/>
    </row>
    <row r="4" spans="1:28" s="12" customFormat="1" x14ac:dyDescent="0.4">
      <c r="A4" s="11"/>
      <c r="B4" s="11"/>
      <c r="C4" s="11"/>
      <c r="D4" s="11"/>
      <c r="E4" s="11"/>
      <c r="F4" s="11"/>
      <c r="G4" s="11"/>
      <c r="H4" s="11"/>
      <c r="I4" s="11"/>
      <c r="J4" s="11"/>
      <c r="K4" s="11"/>
      <c r="L4" s="11"/>
      <c r="M4" s="11"/>
      <c r="N4" s="11"/>
      <c r="O4" s="11"/>
      <c r="P4" s="11"/>
      <c r="Q4" s="11"/>
    </row>
    <row r="5" spans="1:28" ht="18" customHeight="1" x14ac:dyDescent="0.4">
      <c r="A5" s="13" t="s">
        <v>0</v>
      </c>
      <c r="B5" s="14"/>
      <c r="C5" s="14"/>
      <c r="D5" s="14"/>
      <c r="E5" s="14"/>
      <c r="F5" s="14"/>
      <c r="G5" s="14"/>
      <c r="H5" s="14"/>
      <c r="I5" s="14"/>
      <c r="J5" s="14"/>
      <c r="K5" s="14"/>
      <c r="L5" s="14"/>
      <c r="M5" s="14"/>
      <c r="N5" s="14"/>
      <c r="O5" s="14"/>
      <c r="P5" s="14"/>
      <c r="Q5" s="14"/>
      <c r="R5" s="15"/>
    </row>
    <row r="6" spans="1:28" x14ac:dyDescent="0.4">
      <c r="A6" s="16" t="s">
        <v>153</v>
      </c>
      <c r="B6" s="17"/>
      <c r="C6" s="17"/>
      <c r="D6" s="17"/>
      <c r="E6" s="17"/>
      <c r="F6" s="17"/>
      <c r="G6" s="17"/>
      <c r="H6" s="17"/>
      <c r="I6" s="17"/>
      <c r="J6" s="17"/>
      <c r="K6" s="17"/>
      <c r="L6" s="17"/>
      <c r="M6" s="17"/>
      <c r="N6" s="17"/>
      <c r="O6" s="17"/>
      <c r="P6" s="17"/>
      <c r="Q6" s="17"/>
      <c r="R6" s="18"/>
    </row>
    <row r="7" spans="1:28" x14ac:dyDescent="0.4">
      <c r="A7" s="19" t="s">
        <v>186</v>
      </c>
      <c r="B7" s="20"/>
      <c r="C7" s="20"/>
      <c r="D7" s="20"/>
      <c r="E7" s="20"/>
      <c r="F7" s="20"/>
      <c r="G7" s="20"/>
      <c r="H7" s="20"/>
      <c r="I7" s="46"/>
      <c r="J7" s="20"/>
      <c r="K7" s="20"/>
      <c r="L7" s="20"/>
      <c r="M7" s="20"/>
      <c r="N7" s="20"/>
      <c r="O7" s="20"/>
      <c r="P7" s="20"/>
      <c r="Q7" s="20"/>
      <c r="R7" s="21"/>
    </row>
    <row r="8" spans="1:28" s="12" customFormat="1" ht="17.25" customHeight="1" x14ac:dyDescent="0.4">
      <c r="C8" s="22"/>
      <c r="D8" s="22"/>
      <c r="E8" s="22"/>
      <c r="F8" s="22"/>
      <c r="G8" s="22"/>
      <c r="H8" s="22"/>
      <c r="I8" s="22"/>
      <c r="J8" s="22"/>
      <c r="K8" s="22"/>
      <c r="L8" s="22"/>
      <c r="M8" s="22"/>
      <c r="N8" s="22"/>
      <c r="O8" s="22"/>
      <c r="P8" s="22"/>
      <c r="Q8" s="22"/>
      <c r="R8" s="22"/>
      <c r="S8" s="22"/>
      <c r="T8" s="22"/>
    </row>
    <row r="9" spans="1:28" s="12" customFormat="1" ht="17.25" customHeight="1" x14ac:dyDescent="0.4">
      <c r="A9" s="12" t="s">
        <v>590</v>
      </c>
      <c r="B9" s="22"/>
      <c r="C9" s="22"/>
      <c r="D9" s="22"/>
      <c r="E9" s="22"/>
      <c r="F9" s="22"/>
      <c r="G9" s="22"/>
      <c r="I9" s="12" t="s">
        <v>206</v>
      </c>
      <c r="J9" s="22"/>
      <c r="K9" s="22"/>
      <c r="L9" s="22"/>
      <c r="M9" s="22"/>
      <c r="N9" s="22"/>
      <c r="O9" s="22"/>
      <c r="P9" s="22"/>
      <c r="Q9" s="22"/>
      <c r="R9" s="22"/>
      <c r="S9" s="22"/>
      <c r="T9" s="22"/>
      <c r="U9" s="22"/>
      <c r="V9" s="22"/>
      <c r="W9" s="22"/>
      <c r="X9" s="22"/>
      <c r="Y9" s="22"/>
      <c r="Z9" s="22"/>
      <c r="AA9" s="22"/>
    </row>
    <row r="10" spans="1:28" s="12" customFormat="1" ht="17.25" customHeight="1" x14ac:dyDescent="0.4">
      <c r="C10" s="22"/>
      <c r="D10" s="22"/>
      <c r="E10" s="22"/>
      <c r="F10" s="22"/>
      <c r="G10" s="22"/>
      <c r="H10" s="22"/>
      <c r="K10" s="22"/>
      <c r="L10" s="22"/>
      <c r="M10" s="22"/>
      <c r="N10" s="22"/>
      <c r="O10" s="22"/>
      <c r="P10" s="22"/>
      <c r="Q10" s="22"/>
      <c r="R10" s="22"/>
      <c r="S10" s="22"/>
      <c r="T10" s="22"/>
      <c r="U10" s="22"/>
      <c r="V10" s="22"/>
      <c r="W10" s="22"/>
      <c r="X10" s="22"/>
      <c r="Y10" s="22"/>
      <c r="Z10" s="22"/>
      <c r="AA10" s="22"/>
      <c r="AB10" s="22"/>
    </row>
    <row r="11" spans="1:28" x14ac:dyDescent="0.4">
      <c r="B11" s="4" t="s">
        <v>188</v>
      </c>
      <c r="C11" s="4" t="s">
        <v>200</v>
      </c>
      <c r="J11" s="4" t="s">
        <v>188</v>
      </c>
      <c r="K11" s="4" t="s">
        <v>200</v>
      </c>
    </row>
    <row r="13" spans="1:28" x14ac:dyDescent="0.4">
      <c r="C13" s="25" t="s">
        <v>586</v>
      </c>
      <c r="D13" s="25" t="s">
        <v>163</v>
      </c>
      <c r="E13" s="25" t="s">
        <v>156</v>
      </c>
      <c r="F13" s="25" t="s">
        <v>155</v>
      </c>
      <c r="G13" s="25" t="s">
        <v>201</v>
      </c>
      <c r="H13" s="29" t="s">
        <v>584</v>
      </c>
      <c r="K13" s="25" t="s">
        <v>587</v>
      </c>
      <c r="L13" s="25" t="s">
        <v>585</v>
      </c>
      <c r="M13" s="25" t="s">
        <v>156</v>
      </c>
      <c r="N13" s="25" t="s">
        <v>580</v>
      </c>
      <c r="O13" s="25" t="s">
        <v>201</v>
      </c>
      <c r="P13" s="29" t="s">
        <v>584</v>
      </c>
    </row>
    <row r="14" spans="1:28" x14ac:dyDescent="0.4">
      <c r="C14" s="27"/>
      <c r="D14" s="27"/>
      <c r="E14" s="27"/>
      <c r="F14" s="27"/>
      <c r="G14" s="27"/>
      <c r="H14" s="30"/>
      <c r="K14" s="27"/>
      <c r="L14" s="27"/>
      <c r="M14" s="27"/>
      <c r="N14" s="27"/>
      <c r="O14" s="27"/>
      <c r="P14" s="30"/>
    </row>
    <row r="15" spans="1:28" x14ac:dyDescent="0.4">
      <c r="B15" s="4" t="s">
        <v>207</v>
      </c>
      <c r="D15" s="4">
        <f>+C51</f>
        <v>8000</v>
      </c>
      <c r="J15" s="4" t="s">
        <v>207</v>
      </c>
      <c r="L15" s="4">
        <f>+C51+C53</f>
        <v>11520</v>
      </c>
    </row>
    <row r="16" spans="1:28" x14ac:dyDescent="0.4">
      <c r="B16" s="4" t="s">
        <v>210</v>
      </c>
      <c r="D16" s="4">
        <f>-D46</f>
        <v>-20000</v>
      </c>
      <c r="J16" s="4" t="s">
        <v>210</v>
      </c>
      <c r="L16" s="4">
        <f>-D46</f>
        <v>-20000</v>
      </c>
    </row>
    <row r="17" spans="2:16" x14ac:dyDescent="0.4">
      <c r="J17" s="4" t="s">
        <v>211</v>
      </c>
      <c r="M17" s="4">
        <f>+D49*0.4</f>
        <v>1800</v>
      </c>
      <c r="N17" s="4">
        <f>+M17</f>
        <v>1800</v>
      </c>
      <c r="O17" s="4">
        <f>+N17</f>
        <v>1800</v>
      </c>
      <c r="P17" s="4">
        <f>+O17</f>
        <v>1800</v>
      </c>
    </row>
    <row r="18" spans="2:16" x14ac:dyDescent="0.4">
      <c r="B18" s="4" t="s">
        <v>212</v>
      </c>
      <c r="H18" s="4">
        <f>+D55</f>
        <v>3000</v>
      </c>
      <c r="J18" s="4" t="s">
        <v>212</v>
      </c>
      <c r="P18" s="4">
        <f>+D55+D57</f>
        <v>2600</v>
      </c>
    </row>
    <row r="19" spans="2:16" x14ac:dyDescent="0.4">
      <c r="B19" s="4" t="s">
        <v>214</v>
      </c>
      <c r="D19" s="4">
        <f>-E46</f>
        <v>-2400</v>
      </c>
      <c r="J19" s="4" t="s">
        <v>214</v>
      </c>
      <c r="L19" s="4">
        <f>-E46</f>
        <v>-2400</v>
      </c>
    </row>
    <row r="20" spans="2:16" x14ac:dyDescent="0.4">
      <c r="J20" s="4" t="s">
        <v>211</v>
      </c>
      <c r="M20" s="4">
        <f>+E49*0.4</f>
        <v>216</v>
      </c>
      <c r="N20" s="4">
        <f>+M20</f>
        <v>216</v>
      </c>
      <c r="O20" s="4">
        <f>+N20</f>
        <v>216</v>
      </c>
      <c r="P20" s="4">
        <f>+O20</f>
        <v>216</v>
      </c>
    </row>
    <row r="21" spans="2:16" x14ac:dyDescent="0.4">
      <c r="B21" s="4" t="s">
        <v>215</v>
      </c>
      <c r="H21" s="4">
        <f>+E55</f>
        <v>240</v>
      </c>
      <c r="J21" s="4" t="s">
        <v>215</v>
      </c>
      <c r="P21" s="4">
        <f>+E55</f>
        <v>240</v>
      </c>
    </row>
    <row r="22" spans="2:16" x14ac:dyDescent="0.4">
      <c r="B22" s="4" t="s">
        <v>591</v>
      </c>
      <c r="E22" s="4">
        <f>-E66</f>
        <v>-60</v>
      </c>
      <c r="F22" s="4">
        <f t="shared" ref="F22:H22" si="0">-F66</f>
        <v>-60</v>
      </c>
      <c r="G22" s="4">
        <f t="shared" si="0"/>
        <v>-60</v>
      </c>
      <c r="H22" s="4">
        <f t="shared" si="0"/>
        <v>-60</v>
      </c>
      <c r="J22" s="4" t="s">
        <v>218</v>
      </c>
      <c r="M22" s="4">
        <f t="shared" ref="M22:P23" si="1">-E66*0.6</f>
        <v>-36</v>
      </c>
      <c r="N22" s="4">
        <f t="shared" si="1"/>
        <v>-36</v>
      </c>
      <c r="O22" s="4">
        <f t="shared" si="1"/>
        <v>-36</v>
      </c>
      <c r="P22" s="4">
        <f t="shared" si="1"/>
        <v>-36</v>
      </c>
    </row>
    <row r="23" spans="2:16" x14ac:dyDescent="0.4">
      <c r="B23" s="4" t="s">
        <v>592</v>
      </c>
      <c r="E23" s="4">
        <f>-E67</f>
        <v>-1200</v>
      </c>
      <c r="F23" s="4">
        <f t="shared" ref="F23:H23" si="2">-F67</f>
        <v>-1200</v>
      </c>
      <c r="G23" s="4">
        <f t="shared" si="2"/>
        <v>-1200</v>
      </c>
      <c r="H23" s="4">
        <f t="shared" si="2"/>
        <v>-1200</v>
      </c>
      <c r="J23" s="4" t="s">
        <v>217</v>
      </c>
      <c r="M23" s="4">
        <f t="shared" si="1"/>
        <v>-720</v>
      </c>
      <c r="N23" s="4">
        <f t="shared" si="1"/>
        <v>-720</v>
      </c>
      <c r="O23" s="4">
        <f t="shared" si="1"/>
        <v>-720</v>
      </c>
      <c r="P23" s="4">
        <f t="shared" si="1"/>
        <v>-720</v>
      </c>
    </row>
    <row r="24" spans="2:16" x14ac:dyDescent="0.4">
      <c r="B24" s="4" t="s">
        <v>593</v>
      </c>
      <c r="D24" s="4">
        <f>-D68</f>
        <v>-3600</v>
      </c>
      <c r="J24" s="4" t="s">
        <v>216</v>
      </c>
      <c r="L24" s="4">
        <f>-D68*0.6</f>
        <v>-2160</v>
      </c>
    </row>
    <row r="25" spans="2:16" ht="16.8" thickBot="1" x14ac:dyDescent="0.45">
      <c r="B25" s="4" t="s">
        <v>594</v>
      </c>
      <c r="D25" s="172">
        <f>+SUM(D15:D24)</f>
        <v>-18000</v>
      </c>
      <c r="E25" s="172">
        <f>+SUM(E15:E24)</f>
        <v>-1260</v>
      </c>
      <c r="F25" s="172">
        <f>+SUM(F15:F24)</f>
        <v>-1260</v>
      </c>
      <c r="G25" s="172">
        <f>+SUM(G15:G24)</f>
        <v>-1260</v>
      </c>
      <c r="H25" s="172">
        <f>+SUM(H15:H24)</f>
        <v>1980</v>
      </c>
      <c r="J25" s="4" t="s">
        <v>219</v>
      </c>
      <c r="L25" s="172">
        <f>+SUM(L15:L24)</f>
        <v>-13040</v>
      </c>
      <c r="M25" s="172">
        <f>+SUM(M15:M24)</f>
        <v>1260</v>
      </c>
      <c r="N25" s="172">
        <f>+SUM(N15:N24)</f>
        <v>1260</v>
      </c>
      <c r="O25" s="172">
        <f>+SUM(O15:O24)</f>
        <v>1260</v>
      </c>
      <c r="P25" s="172">
        <f>+SUM(P15:P24)</f>
        <v>4100</v>
      </c>
    </row>
    <row r="26" spans="2:16" ht="16.8" thickTop="1" x14ac:dyDescent="0.4"/>
    <row r="27" spans="2:16" x14ac:dyDescent="0.4">
      <c r="B27" s="4" t="s">
        <v>196</v>
      </c>
      <c r="C27" s="4" t="s">
        <v>221</v>
      </c>
      <c r="J27" s="4" t="s">
        <v>196</v>
      </c>
      <c r="K27" s="4" t="s">
        <v>221</v>
      </c>
    </row>
    <row r="29" spans="2:16" x14ac:dyDescent="0.4">
      <c r="C29" s="25" t="s">
        <v>586</v>
      </c>
      <c r="D29" s="25" t="s">
        <v>163</v>
      </c>
      <c r="E29" s="25" t="s">
        <v>156</v>
      </c>
      <c r="F29" s="25" t="s">
        <v>155</v>
      </c>
      <c r="G29" s="25" t="s">
        <v>201</v>
      </c>
      <c r="H29" s="29" t="s">
        <v>584</v>
      </c>
      <c r="K29" s="25" t="s">
        <v>586</v>
      </c>
      <c r="L29" s="25" t="s">
        <v>585</v>
      </c>
      <c r="M29" s="25" t="s">
        <v>581</v>
      </c>
      <c r="N29" s="25" t="s">
        <v>580</v>
      </c>
      <c r="O29" s="25" t="s">
        <v>201</v>
      </c>
      <c r="P29" s="29" t="s">
        <v>584</v>
      </c>
    </row>
    <row r="30" spans="2:16" x14ac:dyDescent="0.4">
      <c r="C30" s="27"/>
      <c r="D30" s="27"/>
      <c r="E30" s="27"/>
      <c r="F30" s="27"/>
      <c r="G30" s="27"/>
      <c r="H30" s="30"/>
      <c r="K30" s="27"/>
      <c r="L30" s="27"/>
      <c r="M30" s="27"/>
      <c r="N30" s="27"/>
      <c r="O30" s="27"/>
      <c r="P30" s="30"/>
    </row>
    <row r="31" spans="2:16" x14ac:dyDescent="0.4">
      <c r="B31" s="4" t="s">
        <v>207</v>
      </c>
      <c r="C31" s="36"/>
      <c r="D31" s="36"/>
      <c r="E31" s="36"/>
      <c r="F31" s="36"/>
      <c r="G31" s="36"/>
      <c r="H31" s="36">
        <f>+C55</f>
        <v>240</v>
      </c>
      <c r="J31" s="4" t="s">
        <v>207</v>
      </c>
      <c r="K31" s="36"/>
      <c r="L31" s="36"/>
      <c r="M31" s="36"/>
      <c r="N31" s="36"/>
      <c r="O31" s="36"/>
      <c r="P31" s="36">
        <f>+C55+C57</f>
        <v>1104</v>
      </c>
    </row>
    <row r="32" spans="2:16" x14ac:dyDescent="0.4">
      <c r="B32" s="4" t="s">
        <v>222</v>
      </c>
      <c r="C32" s="36"/>
      <c r="D32" s="36"/>
      <c r="E32" s="36"/>
      <c r="F32" s="36"/>
      <c r="G32" s="36"/>
      <c r="H32" s="36"/>
      <c r="J32" s="4" t="s">
        <v>222</v>
      </c>
      <c r="K32" s="36"/>
      <c r="L32" s="36"/>
      <c r="M32" s="36">
        <f>+C49*0.4</f>
        <v>1440</v>
      </c>
      <c r="N32" s="36">
        <f>+M32</f>
        <v>1440</v>
      </c>
      <c r="O32" s="36">
        <f>+N32</f>
        <v>1440</v>
      </c>
      <c r="P32" s="36">
        <f>+O32</f>
        <v>1440</v>
      </c>
    </row>
    <row r="33" spans="2:16" x14ac:dyDescent="0.4">
      <c r="B33" s="4" t="s">
        <v>595</v>
      </c>
      <c r="C33" s="36"/>
      <c r="D33" s="36"/>
      <c r="E33" s="36"/>
      <c r="F33" s="36">
        <f>-7000*($E$72-F72)/10000</f>
        <v>-4900</v>
      </c>
      <c r="G33" s="36">
        <f>-7000*($E$72-G72)/10000</f>
        <v>-9800</v>
      </c>
      <c r="H33" s="36">
        <f>-7000*($E$72-H72)/10000</f>
        <v>-14700</v>
      </c>
      <c r="J33" s="4" t="s">
        <v>224</v>
      </c>
      <c r="K33" s="36"/>
      <c r="L33" s="36"/>
      <c r="M33" s="36"/>
      <c r="N33" s="36">
        <f>-7000*($E$72-F72)/10000*0.6</f>
        <v>-2940</v>
      </c>
      <c r="O33" s="36">
        <f>-7000*($E$72-G72)/10000*0.6</f>
        <v>-5880</v>
      </c>
      <c r="P33" s="36">
        <f>-7000*($E$72-H72)/10000*0.6</f>
        <v>-8820</v>
      </c>
    </row>
    <row r="34" spans="2:16" x14ac:dyDescent="0.4">
      <c r="B34" s="4" t="s">
        <v>592</v>
      </c>
      <c r="C34" s="36"/>
      <c r="D34" s="36"/>
      <c r="E34" s="36">
        <f>-E73</f>
        <v>-1000</v>
      </c>
      <c r="F34" s="36">
        <f t="shared" ref="F34:H34" si="3">-F73</f>
        <v>-1000</v>
      </c>
      <c r="G34" s="36">
        <f t="shared" si="3"/>
        <v>-1000</v>
      </c>
      <c r="H34" s="36">
        <f t="shared" si="3"/>
        <v>-1000</v>
      </c>
      <c r="J34" s="4" t="s">
        <v>217</v>
      </c>
      <c r="K34" s="36"/>
      <c r="L34" s="36"/>
      <c r="M34" s="36">
        <f>-E73*0.6</f>
        <v>-600</v>
      </c>
      <c r="N34" s="36">
        <f>-F73*0.6</f>
        <v>-600</v>
      </c>
      <c r="O34" s="36">
        <f>-G73*0.6</f>
        <v>-600</v>
      </c>
      <c r="P34" s="36">
        <f>-H73*0.6</f>
        <v>-600</v>
      </c>
    </row>
    <row r="35" spans="2:16" x14ac:dyDescent="0.4">
      <c r="B35" s="4" t="s">
        <v>591</v>
      </c>
      <c r="E35" s="4">
        <f>-E75</f>
        <v>-900</v>
      </c>
      <c r="F35" s="4">
        <f t="shared" ref="F35:H35" si="4">-F75</f>
        <v>-816</v>
      </c>
      <c r="G35" s="4">
        <f t="shared" si="4"/>
        <v>-732</v>
      </c>
      <c r="H35" s="4">
        <f t="shared" si="4"/>
        <v>-648</v>
      </c>
      <c r="J35" s="4" t="s">
        <v>218</v>
      </c>
      <c r="M35" s="4">
        <f>-E75*0.6</f>
        <v>-540</v>
      </c>
      <c r="N35" s="4">
        <f>-F75*0.6</f>
        <v>-489.59999999999997</v>
      </c>
      <c r="O35" s="4">
        <f>-G75*0.6</f>
        <v>-439.2</v>
      </c>
      <c r="P35" s="4">
        <f>-H75*0.6</f>
        <v>-388.8</v>
      </c>
    </row>
    <row r="36" spans="2:16" x14ac:dyDescent="0.4">
      <c r="B36" s="4" t="s">
        <v>596</v>
      </c>
      <c r="E36" s="4">
        <f>-E77</f>
        <v>-750</v>
      </c>
      <c r="F36" s="4">
        <f t="shared" ref="F36:H36" si="5">-F77</f>
        <v>-680</v>
      </c>
      <c r="G36" s="4">
        <f t="shared" si="5"/>
        <v>-610</v>
      </c>
      <c r="H36" s="4">
        <f t="shared" si="5"/>
        <v>-540</v>
      </c>
      <c r="J36" s="4" t="s">
        <v>223</v>
      </c>
      <c r="M36" s="4">
        <f>-E77*0.6</f>
        <v>-450</v>
      </c>
      <c r="N36" s="4">
        <f>-F77*0.6</f>
        <v>-408</v>
      </c>
      <c r="O36" s="4">
        <f>-G77*0.6</f>
        <v>-366</v>
      </c>
      <c r="P36" s="4">
        <f>-H77*0.6</f>
        <v>-324</v>
      </c>
    </row>
    <row r="38" spans="2:16" ht="16.8" thickBot="1" x14ac:dyDescent="0.45">
      <c r="B38" s="4" t="s">
        <v>594</v>
      </c>
      <c r="D38" s="172">
        <f>+SUM(D31:D37)</f>
        <v>0</v>
      </c>
      <c r="E38" s="172">
        <f>+SUM(E31:E37)</f>
        <v>-2650</v>
      </c>
      <c r="F38" s="172">
        <f>+SUM(F31:F37)</f>
        <v>-7396</v>
      </c>
      <c r="G38" s="172">
        <f>+SUM(G31:G37)</f>
        <v>-12142</v>
      </c>
      <c r="H38" s="172">
        <f>+SUM(H31:H37)</f>
        <v>-16648</v>
      </c>
      <c r="J38" s="4" t="s">
        <v>219</v>
      </c>
      <c r="L38" s="172">
        <f>+SUM(L31:L37)</f>
        <v>0</v>
      </c>
      <c r="M38" s="172">
        <f>+SUM(M31:M37)</f>
        <v>-150</v>
      </c>
      <c r="N38" s="172">
        <f>+SUM(N31:N37)</f>
        <v>-2997.6</v>
      </c>
      <c r="O38" s="172">
        <f>+SUM(O31:O37)</f>
        <v>-5845.2</v>
      </c>
      <c r="P38" s="172">
        <f>+SUM(P31:P37)</f>
        <v>-7588.8</v>
      </c>
    </row>
    <row r="39" spans="2:16" ht="16.8" thickTop="1" x14ac:dyDescent="0.4"/>
    <row r="43" spans="2:16" x14ac:dyDescent="0.4">
      <c r="I43" s="4" t="s">
        <v>597</v>
      </c>
      <c r="K43" s="4" t="s">
        <v>598</v>
      </c>
      <c r="L43" s="119">
        <v>1</v>
      </c>
      <c r="M43" s="119">
        <v>0.86960000000000004</v>
      </c>
      <c r="N43" s="119">
        <v>0.75609999999999999</v>
      </c>
      <c r="O43" s="119">
        <v>0.65749999999999997</v>
      </c>
      <c r="P43" s="119">
        <v>0.57179999999999997</v>
      </c>
    </row>
    <row r="44" spans="2:16" x14ac:dyDescent="0.4">
      <c r="B44" s="4" t="s">
        <v>28</v>
      </c>
    </row>
    <row r="45" spans="2:16" x14ac:dyDescent="0.4">
      <c r="C45" s="4" t="s">
        <v>202</v>
      </c>
      <c r="D45" s="4" t="s">
        <v>203</v>
      </c>
      <c r="E45" s="4" t="s">
        <v>204</v>
      </c>
      <c r="J45" s="4" t="s">
        <v>599</v>
      </c>
      <c r="L45" s="4">
        <f>+L25*L43</f>
        <v>-13040</v>
      </c>
      <c r="M45" s="4">
        <f t="shared" ref="M45:P45" si="6">+M25*M43</f>
        <v>1095.6960000000001</v>
      </c>
      <c r="N45" s="4">
        <f t="shared" si="6"/>
        <v>952.68600000000004</v>
      </c>
      <c r="O45" s="4">
        <f t="shared" si="6"/>
        <v>828.44999999999993</v>
      </c>
      <c r="P45" s="4">
        <f t="shared" si="6"/>
        <v>2344.38</v>
      </c>
    </row>
    <row r="46" spans="2:16" x14ac:dyDescent="0.4">
      <c r="B46" s="4" t="s">
        <v>29</v>
      </c>
      <c r="C46" s="4">
        <v>24000</v>
      </c>
      <c r="D46" s="4">
        <v>20000</v>
      </c>
      <c r="E46" s="4">
        <v>2400</v>
      </c>
      <c r="J46" s="4" t="s">
        <v>600</v>
      </c>
      <c r="L46" s="82">
        <f>+SUM(L45:P45)</f>
        <v>-7818.7879999999996</v>
      </c>
    </row>
    <row r="47" spans="2:16" x14ac:dyDescent="0.4">
      <c r="B47" s="4" t="s">
        <v>205</v>
      </c>
      <c r="C47" s="4">
        <v>6</v>
      </c>
      <c r="D47" s="4">
        <v>4</v>
      </c>
      <c r="E47" s="4">
        <v>4</v>
      </c>
    </row>
    <row r="48" spans="2:16" x14ac:dyDescent="0.4">
      <c r="B48" s="4" t="s">
        <v>30</v>
      </c>
      <c r="C48" s="4">
        <v>2400</v>
      </c>
      <c r="D48" s="4">
        <v>2000</v>
      </c>
      <c r="E48" s="4">
        <v>240</v>
      </c>
      <c r="J48" s="4" t="s">
        <v>601</v>
      </c>
      <c r="L48" s="4">
        <f>+L38*L43</f>
        <v>0</v>
      </c>
      <c r="M48" s="4">
        <f t="shared" ref="M48:P48" si="7">+M38*M43</f>
        <v>-130.44</v>
      </c>
      <c r="N48" s="4">
        <f t="shared" si="7"/>
        <v>-2266.4853600000001</v>
      </c>
      <c r="O48" s="4">
        <f t="shared" si="7"/>
        <v>-3843.2189999999996</v>
      </c>
      <c r="P48" s="4">
        <f t="shared" si="7"/>
        <v>-4339.2758400000002</v>
      </c>
    </row>
    <row r="49" spans="2:13" x14ac:dyDescent="0.4">
      <c r="B49" s="4" t="s">
        <v>32</v>
      </c>
      <c r="C49" s="4">
        <f>+(C46-C48)/6</f>
        <v>3600</v>
      </c>
      <c r="D49" s="4">
        <f>+(D46-D48)/4</f>
        <v>4500</v>
      </c>
      <c r="E49" s="4">
        <f>+(E46-E48)/4</f>
        <v>540</v>
      </c>
      <c r="J49" s="4" t="s">
        <v>600</v>
      </c>
      <c r="L49" s="82">
        <f>+SUM(L48:P48)</f>
        <v>-10579.4202</v>
      </c>
    </row>
    <row r="51" spans="2:13" x14ac:dyDescent="0.4">
      <c r="B51" s="4" t="s">
        <v>208</v>
      </c>
      <c r="C51" s="4">
        <v>8000</v>
      </c>
      <c r="J51" s="4" t="s">
        <v>602</v>
      </c>
      <c r="K51" s="118" t="s">
        <v>603</v>
      </c>
      <c r="L51" s="82">
        <f>+L46-L49</f>
        <v>2760.6322000000009</v>
      </c>
      <c r="M51" s="4" t="s">
        <v>604</v>
      </c>
    </row>
    <row r="52" spans="2:13" x14ac:dyDescent="0.4">
      <c r="B52" s="4" t="s">
        <v>72</v>
      </c>
      <c r="C52" s="4">
        <f>+C51-(C46-C49*2)</f>
        <v>-8800</v>
      </c>
    </row>
    <row r="53" spans="2:13" x14ac:dyDescent="0.4">
      <c r="B53" s="4" t="s">
        <v>209</v>
      </c>
      <c r="C53" s="4">
        <f>-C52*0.4</f>
        <v>3520</v>
      </c>
    </row>
    <row r="55" spans="2:13" x14ac:dyDescent="0.4">
      <c r="B55" s="4" t="s">
        <v>213</v>
      </c>
      <c r="C55" s="4">
        <v>240</v>
      </c>
      <c r="D55" s="4">
        <v>3000</v>
      </c>
      <c r="E55" s="4">
        <v>240</v>
      </c>
    </row>
    <row r="56" spans="2:13" x14ac:dyDescent="0.4">
      <c r="B56" s="4" t="s">
        <v>72</v>
      </c>
      <c r="C56" s="4">
        <f>+C55-C48</f>
        <v>-2160</v>
      </c>
      <c r="D56" s="4">
        <f>+D55-D48</f>
        <v>1000</v>
      </c>
      <c r="E56" s="4">
        <v>0</v>
      </c>
    </row>
    <row r="57" spans="2:13" x14ac:dyDescent="0.4">
      <c r="B57" s="4" t="s">
        <v>583</v>
      </c>
      <c r="C57" s="4">
        <f>-C56*0.4</f>
        <v>864</v>
      </c>
      <c r="D57" s="4">
        <f>-D56*0.4</f>
        <v>-400</v>
      </c>
    </row>
    <row r="61" spans="2:13" x14ac:dyDescent="0.4">
      <c r="B61" s="4" t="s">
        <v>187</v>
      </c>
    </row>
    <row r="63" spans="2:13" x14ac:dyDescent="0.4">
      <c r="B63" s="4" t="s">
        <v>188</v>
      </c>
      <c r="C63" s="4" t="s">
        <v>191</v>
      </c>
      <c r="D63" s="4" t="s">
        <v>582</v>
      </c>
      <c r="E63" s="4" t="s">
        <v>581</v>
      </c>
      <c r="F63" s="4" t="s">
        <v>580</v>
      </c>
      <c r="G63" s="4" t="s">
        <v>62</v>
      </c>
      <c r="H63" s="4" t="s">
        <v>63</v>
      </c>
    </row>
    <row r="64" spans="2:13" x14ac:dyDescent="0.4">
      <c r="B64" s="4" t="s">
        <v>189</v>
      </c>
      <c r="E64" s="4">
        <v>75000</v>
      </c>
      <c r="F64" s="4">
        <f>+E64</f>
        <v>75000</v>
      </c>
      <c r="G64" s="4">
        <f>+F64</f>
        <v>75000</v>
      </c>
      <c r="H64" s="4">
        <f>+G64</f>
        <v>75000</v>
      </c>
      <c r="I64" s="4" t="s">
        <v>194</v>
      </c>
    </row>
    <row r="65" spans="2:9" x14ac:dyDescent="0.4">
      <c r="B65" s="4" t="s">
        <v>190</v>
      </c>
      <c r="C65" s="4">
        <v>800</v>
      </c>
      <c r="E65" s="4">
        <f>+E64*0.01</f>
        <v>750</v>
      </c>
      <c r="F65" s="4">
        <f>+F64*0.01</f>
        <v>750</v>
      </c>
      <c r="G65" s="4">
        <f>+G64*0.01</f>
        <v>750</v>
      </c>
      <c r="H65" s="4">
        <f>+H64*0.01</f>
        <v>750</v>
      </c>
      <c r="I65" s="4" t="s">
        <v>194</v>
      </c>
    </row>
    <row r="66" spans="2:9" x14ac:dyDescent="0.4">
      <c r="B66" s="4" t="s">
        <v>193</v>
      </c>
      <c r="E66" s="4">
        <f>+E65*$C$65/10000</f>
        <v>60</v>
      </c>
      <c r="F66" s="4">
        <f>+F65*$C$65/10000</f>
        <v>60</v>
      </c>
      <c r="G66" s="4">
        <f>+G65*$C$65/10000</f>
        <v>60</v>
      </c>
      <c r="H66" s="4">
        <f>+H65*$C$65/10000</f>
        <v>60</v>
      </c>
      <c r="I66" s="4" t="s">
        <v>195</v>
      </c>
    </row>
    <row r="67" spans="2:9" x14ac:dyDescent="0.4">
      <c r="B67" s="4" t="s">
        <v>220</v>
      </c>
      <c r="E67" s="4">
        <v>1200</v>
      </c>
      <c r="F67" s="4">
        <v>1200</v>
      </c>
      <c r="G67" s="4">
        <v>1200</v>
      </c>
      <c r="H67" s="4">
        <v>1200</v>
      </c>
      <c r="I67" s="4" t="s">
        <v>195</v>
      </c>
    </row>
    <row r="68" spans="2:9" x14ac:dyDescent="0.4">
      <c r="B68" s="4" t="s">
        <v>199</v>
      </c>
      <c r="D68" s="4">
        <v>3600</v>
      </c>
      <c r="I68" s="4" t="s">
        <v>195</v>
      </c>
    </row>
    <row r="72" spans="2:9" x14ac:dyDescent="0.4">
      <c r="B72" s="4" t="s">
        <v>196</v>
      </c>
      <c r="E72" s="4">
        <v>75000</v>
      </c>
      <c r="F72" s="4">
        <f>+E72-7000</f>
        <v>68000</v>
      </c>
      <c r="G72" s="4">
        <f>+F72-7000</f>
        <v>61000</v>
      </c>
      <c r="H72" s="4">
        <f>+G72-7000</f>
        <v>54000</v>
      </c>
      <c r="I72" s="4" t="s">
        <v>194</v>
      </c>
    </row>
    <row r="73" spans="2:9" x14ac:dyDescent="0.4">
      <c r="B73" s="4" t="s">
        <v>220</v>
      </c>
      <c r="E73" s="4">
        <v>1000</v>
      </c>
      <c r="F73" s="4">
        <v>1000</v>
      </c>
      <c r="G73" s="4">
        <v>1000</v>
      </c>
      <c r="H73" s="4">
        <v>1000</v>
      </c>
      <c r="I73" s="4" t="s">
        <v>195</v>
      </c>
    </row>
    <row r="74" spans="2:9" x14ac:dyDescent="0.4">
      <c r="B74" s="4" t="s">
        <v>190</v>
      </c>
      <c r="C74" s="4">
        <v>4000</v>
      </c>
      <c r="E74" s="4">
        <f>+E72*0.03</f>
        <v>2250</v>
      </c>
      <c r="F74" s="4">
        <f>+F72*0.03</f>
        <v>2040</v>
      </c>
      <c r="G74" s="4">
        <f>+G72*0.03</f>
        <v>1830</v>
      </c>
      <c r="H74" s="4">
        <f>+H72*0.03</f>
        <v>1620</v>
      </c>
      <c r="I74" s="4" t="s">
        <v>194</v>
      </c>
    </row>
    <row r="75" spans="2:9" x14ac:dyDescent="0.4">
      <c r="B75" s="4" t="s">
        <v>192</v>
      </c>
      <c r="E75" s="4">
        <f>+$C$74*E74/10000</f>
        <v>900</v>
      </c>
      <c r="F75" s="4">
        <f>+$C$74*F74/10000</f>
        <v>816</v>
      </c>
      <c r="G75" s="4">
        <f>+$C$74*G74/10000</f>
        <v>732</v>
      </c>
      <c r="H75" s="4">
        <f>+$C$74*H74/10000</f>
        <v>648</v>
      </c>
      <c r="I75" s="4" t="s">
        <v>195</v>
      </c>
    </row>
    <row r="76" spans="2:9" x14ac:dyDescent="0.4">
      <c r="B76" s="4" t="s">
        <v>197</v>
      </c>
      <c r="C76" s="4">
        <v>10000</v>
      </c>
      <c r="E76" s="4">
        <f>+E72*0.01</f>
        <v>750</v>
      </c>
      <c r="F76" s="4">
        <f>+F72*0.01</f>
        <v>680</v>
      </c>
      <c r="G76" s="4">
        <f>+G72*0.01</f>
        <v>610</v>
      </c>
      <c r="H76" s="4">
        <f>+H72*0.01</f>
        <v>540</v>
      </c>
      <c r="I76" s="4" t="s">
        <v>194</v>
      </c>
    </row>
    <row r="77" spans="2:9" x14ac:dyDescent="0.4">
      <c r="B77" s="4" t="s">
        <v>198</v>
      </c>
      <c r="E77" s="4">
        <f>+$C$76*E76/10000</f>
        <v>750</v>
      </c>
      <c r="F77" s="4">
        <f>+$C$76*F76/10000</f>
        <v>680</v>
      </c>
      <c r="G77" s="4">
        <f>+$C$76*G76/10000</f>
        <v>610</v>
      </c>
      <c r="H77" s="4">
        <f>+$C$76*H76/10000</f>
        <v>540</v>
      </c>
      <c r="I77" s="4" t="s">
        <v>195</v>
      </c>
    </row>
  </sheetData>
  <phoneticPr fontId="3"/>
  <pageMargins left="0.25" right="0.25" top="0.75" bottom="0.75" header="0.3" footer="0.3"/>
  <pageSetup paperSize="9" scale="6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9"/>
  <sheetViews>
    <sheetView tabSelected="1" zoomScale="90" zoomScaleNormal="90" workbookViewId="0">
      <selection activeCell="I27" sqref="I27"/>
    </sheetView>
  </sheetViews>
  <sheetFormatPr defaultColWidth="12" defaultRowHeight="16.2" x14ac:dyDescent="0.4"/>
  <cols>
    <col min="1" max="1" width="12.109375" style="4" customWidth="1"/>
    <col min="2" max="5" width="13.109375" style="4" customWidth="1"/>
    <col min="6" max="7" width="12.6640625" style="4" customWidth="1"/>
    <col min="8" max="10" width="13.109375" style="4" customWidth="1"/>
    <col min="11" max="11" width="12" style="4"/>
    <col min="12" max="12" width="11.88671875" style="4" customWidth="1"/>
    <col min="13" max="16384" width="12" style="4"/>
  </cols>
  <sheetData>
    <row r="1" spans="1:21" x14ac:dyDescent="0.4">
      <c r="A1" s="1" t="s">
        <v>302</v>
      </c>
      <c r="B1" s="2"/>
      <c r="C1" s="2"/>
      <c r="D1" s="2"/>
      <c r="E1" s="2"/>
      <c r="F1" s="2"/>
      <c r="G1" s="2"/>
      <c r="H1" s="2"/>
      <c r="I1" s="2"/>
      <c r="J1" s="2"/>
      <c r="K1" s="2"/>
      <c r="L1" s="2"/>
      <c r="M1" s="2"/>
      <c r="N1" s="2"/>
      <c r="O1" s="2"/>
      <c r="P1" s="2"/>
      <c r="Q1" s="3"/>
    </row>
    <row r="2" spans="1:21" x14ac:dyDescent="0.4">
      <c r="A2" s="5" t="s">
        <v>304</v>
      </c>
      <c r="B2" s="6"/>
      <c r="C2" s="6"/>
      <c r="D2" s="6"/>
      <c r="E2" s="6"/>
      <c r="F2" s="6"/>
      <c r="G2" s="6"/>
      <c r="H2" s="6"/>
      <c r="I2" s="6"/>
      <c r="J2" s="6"/>
      <c r="K2" s="6"/>
      <c r="L2" s="6"/>
      <c r="M2" s="6"/>
      <c r="N2" s="6"/>
      <c r="O2" s="6"/>
      <c r="P2" s="6"/>
      <c r="Q2" s="7"/>
    </row>
    <row r="3" spans="1:21" x14ac:dyDescent="0.4">
      <c r="A3" s="8" t="s">
        <v>605</v>
      </c>
      <c r="B3" s="9"/>
      <c r="C3" s="9"/>
      <c r="D3" s="9"/>
      <c r="E3" s="9"/>
      <c r="F3" s="9"/>
      <c r="G3" s="9"/>
      <c r="H3" s="9"/>
      <c r="I3" s="9"/>
      <c r="J3" s="9"/>
      <c r="K3" s="9"/>
      <c r="L3" s="9"/>
      <c r="M3" s="9"/>
      <c r="N3" s="9"/>
      <c r="O3" s="9"/>
      <c r="P3" s="9"/>
      <c r="Q3" s="10"/>
    </row>
    <row r="4" spans="1:21" s="12" customFormat="1" x14ac:dyDescent="0.4">
      <c r="A4" s="11"/>
      <c r="B4" s="11"/>
      <c r="C4" s="11"/>
      <c r="D4" s="11"/>
      <c r="E4" s="11"/>
      <c r="F4" s="11"/>
      <c r="G4" s="11"/>
      <c r="H4" s="11"/>
      <c r="I4" s="11"/>
      <c r="J4" s="11"/>
      <c r="K4" s="11"/>
      <c r="L4" s="11"/>
      <c r="M4" s="11"/>
      <c r="N4" s="11"/>
      <c r="O4" s="11"/>
      <c r="P4" s="11"/>
      <c r="Q4" s="11"/>
    </row>
    <row r="5" spans="1:21" ht="18" customHeight="1" x14ac:dyDescent="0.4">
      <c r="A5" s="13" t="s">
        <v>0</v>
      </c>
      <c r="B5" s="14"/>
      <c r="C5" s="14"/>
      <c r="D5" s="14"/>
      <c r="E5" s="14"/>
      <c r="F5" s="14"/>
      <c r="G5" s="14"/>
      <c r="H5" s="14"/>
      <c r="I5" s="14"/>
      <c r="J5" s="14"/>
      <c r="K5" s="14"/>
      <c r="L5" s="14"/>
      <c r="M5" s="14"/>
      <c r="N5" s="14"/>
      <c r="O5" s="14"/>
      <c r="P5" s="14"/>
      <c r="Q5" s="14"/>
      <c r="R5" s="15"/>
    </row>
    <row r="6" spans="1:21" x14ac:dyDescent="0.4">
      <c r="A6" s="16" t="s">
        <v>606</v>
      </c>
      <c r="B6" s="17"/>
      <c r="C6" s="17"/>
      <c r="D6" s="17"/>
      <c r="E6" s="17"/>
      <c r="F6" s="17"/>
      <c r="G6" s="17"/>
      <c r="H6" s="17"/>
      <c r="I6" s="17"/>
      <c r="J6" s="17"/>
      <c r="K6" s="17"/>
      <c r="L6" s="17"/>
      <c r="M6" s="17"/>
      <c r="N6" s="17"/>
      <c r="O6" s="17"/>
      <c r="P6" s="17"/>
      <c r="Q6" s="17"/>
      <c r="R6" s="18"/>
    </row>
    <row r="7" spans="1:21" x14ac:dyDescent="0.4">
      <c r="A7" s="19" t="s">
        <v>623</v>
      </c>
      <c r="B7" s="20"/>
      <c r="C7" s="20"/>
      <c r="D7" s="20"/>
      <c r="E7" s="20"/>
      <c r="F7" s="20"/>
      <c r="G7" s="20"/>
      <c r="H7" s="20"/>
      <c r="I7" s="46"/>
      <c r="J7" s="20"/>
      <c r="K7" s="20"/>
      <c r="L7" s="20"/>
      <c r="M7" s="20"/>
      <c r="N7" s="20"/>
      <c r="O7" s="20"/>
      <c r="P7" s="20"/>
      <c r="Q7" s="20"/>
      <c r="R7" s="21"/>
    </row>
    <row r="8" spans="1:21" s="12" customFormat="1" ht="17.25" customHeight="1" x14ac:dyDescent="0.4">
      <c r="D8" s="22"/>
      <c r="E8" s="22"/>
      <c r="F8" s="22"/>
      <c r="G8" s="22"/>
      <c r="H8" s="22"/>
      <c r="I8" s="22"/>
      <c r="J8" s="22"/>
      <c r="K8" s="22"/>
      <c r="L8" s="22"/>
      <c r="M8" s="22"/>
      <c r="N8" s="22"/>
      <c r="O8" s="22"/>
      <c r="P8" s="22"/>
      <c r="Q8" s="22"/>
      <c r="R8" s="22"/>
      <c r="S8" s="22"/>
      <c r="T8" s="22"/>
      <c r="U8" s="22"/>
    </row>
    <row r="9" spans="1:21" x14ac:dyDescent="0.4">
      <c r="A9" s="4" t="s">
        <v>617</v>
      </c>
      <c r="C9" s="27"/>
      <c r="D9" s="30" t="s">
        <v>107</v>
      </c>
      <c r="E9" s="88">
        <v>0.6</v>
      </c>
      <c r="F9" s="85">
        <v>0.05</v>
      </c>
      <c r="G9" s="85">
        <f>+F9*0.6</f>
        <v>0.03</v>
      </c>
    </row>
    <row r="10" spans="1:21" x14ac:dyDescent="0.4">
      <c r="C10" s="174"/>
      <c r="D10" s="29"/>
      <c r="E10" s="24"/>
      <c r="F10" s="85"/>
      <c r="G10" s="85"/>
    </row>
    <row r="11" spans="1:21" x14ac:dyDescent="0.4">
      <c r="C11" s="174"/>
      <c r="D11" s="36" t="s">
        <v>618</v>
      </c>
      <c r="E11" s="88">
        <v>0.4</v>
      </c>
      <c r="F11" s="85">
        <v>0.13</v>
      </c>
      <c r="G11" s="85"/>
    </row>
    <row r="12" spans="1:21" x14ac:dyDescent="0.4">
      <c r="C12" s="25"/>
      <c r="D12" s="42"/>
      <c r="E12" s="24"/>
      <c r="F12" s="85"/>
      <c r="G12" s="85"/>
    </row>
    <row r="13" spans="1:21" x14ac:dyDescent="0.4">
      <c r="F13" s="85" t="s">
        <v>315</v>
      </c>
      <c r="G13" s="83">
        <f>+G9*E9+F11*E11</f>
        <v>7.0000000000000007E-2</v>
      </c>
    </row>
    <row r="15" spans="1:21" x14ac:dyDescent="0.4">
      <c r="A15" s="4" t="s">
        <v>619</v>
      </c>
    </row>
    <row r="16" spans="1:21" s="12" customFormat="1" ht="17.25" customHeight="1" x14ac:dyDescent="0.4">
      <c r="B16" s="12" t="s">
        <v>609</v>
      </c>
      <c r="D16" s="173" t="s">
        <v>610</v>
      </c>
      <c r="E16" s="173"/>
      <c r="F16" s="173" t="s">
        <v>611</v>
      </c>
      <c r="G16" s="173"/>
      <c r="H16" s="173" t="s">
        <v>612</v>
      </c>
      <c r="I16" s="173"/>
      <c r="J16" s="173"/>
      <c r="K16" s="173" t="s">
        <v>28</v>
      </c>
      <c r="L16" s="173"/>
      <c r="M16" s="173"/>
      <c r="N16" s="173"/>
      <c r="O16" s="173"/>
      <c r="P16" s="173"/>
      <c r="Q16" s="173"/>
      <c r="R16" s="173"/>
      <c r="S16" s="173"/>
      <c r="T16" s="173"/>
      <c r="U16" s="173"/>
    </row>
    <row r="17" spans="2:13" x14ac:dyDescent="0.4">
      <c r="D17" s="25" t="s">
        <v>607</v>
      </c>
      <c r="E17" s="29" t="s">
        <v>608</v>
      </c>
      <c r="F17" s="25" t="s">
        <v>62</v>
      </c>
      <c r="G17" s="29" t="s">
        <v>63</v>
      </c>
      <c r="H17" s="25" t="s">
        <v>64</v>
      </c>
      <c r="I17" s="29" t="s">
        <v>157</v>
      </c>
      <c r="L17" s="4" t="s">
        <v>609</v>
      </c>
      <c r="M17" s="4" t="s">
        <v>613</v>
      </c>
    </row>
    <row r="18" spans="2:13" x14ac:dyDescent="0.4">
      <c r="D18" s="27"/>
      <c r="E18" s="30"/>
      <c r="F18" s="27"/>
      <c r="G18" s="30"/>
      <c r="H18" s="27"/>
      <c r="I18" s="30"/>
      <c r="K18" s="4" t="s">
        <v>29</v>
      </c>
      <c r="L18" s="4">
        <v>3000</v>
      </c>
      <c r="M18" s="4">
        <v>4000</v>
      </c>
    </row>
    <row r="19" spans="2:13" x14ac:dyDescent="0.4">
      <c r="B19" s="4" t="s">
        <v>614</v>
      </c>
      <c r="C19" s="4">
        <f>-$L$18</f>
        <v>-3000</v>
      </c>
      <c r="E19" s="4">
        <f>-$L$18</f>
        <v>-3000</v>
      </c>
      <c r="G19" s="4">
        <f>-$L$18</f>
        <v>-3000</v>
      </c>
      <c r="K19" s="4" t="s">
        <v>205</v>
      </c>
      <c r="L19" s="4">
        <v>2</v>
      </c>
      <c r="M19" s="4">
        <v>3</v>
      </c>
    </row>
    <row r="20" spans="2:13" x14ac:dyDescent="0.4">
      <c r="B20" s="4" t="s">
        <v>615</v>
      </c>
      <c r="E20" s="4">
        <f>+$L$20</f>
        <v>300</v>
      </c>
      <c r="G20" s="4">
        <f>+$L$20</f>
        <v>300</v>
      </c>
      <c r="I20" s="4">
        <f>+$L$20</f>
        <v>300</v>
      </c>
      <c r="K20" s="4" t="s">
        <v>30</v>
      </c>
      <c r="L20" s="4">
        <v>300</v>
      </c>
      <c r="M20" s="4">
        <v>400</v>
      </c>
    </row>
    <row r="21" spans="2:13" x14ac:dyDescent="0.4">
      <c r="B21" s="4" t="s">
        <v>173</v>
      </c>
      <c r="D21" s="4">
        <f>+L21*0.4</f>
        <v>540</v>
      </c>
      <c r="E21" s="4">
        <f>+D21</f>
        <v>540</v>
      </c>
      <c r="F21" s="4">
        <f t="shared" ref="F21:I21" si="0">+E21</f>
        <v>540</v>
      </c>
      <c r="G21" s="4">
        <f t="shared" si="0"/>
        <v>540</v>
      </c>
      <c r="H21" s="4">
        <f t="shared" si="0"/>
        <v>540</v>
      </c>
      <c r="I21" s="4">
        <f t="shared" si="0"/>
        <v>540</v>
      </c>
      <c r="K21" s="4" t="s">
        <v>32</v>
      </c>
      <c r="L21" s="4">
        <f>+(L18-L20)/L19</f>
        <v>1350</v>
      </c>
      <c r="M21" s="4">
        <f>+(M18-M20)/M19</f>
        <v>1200</v>
      </c>
    </row>
    <row r="22" spans="2:13" x14ac:dyDescent="0.4">
      <c r="B22" s="4" t="s">
        <v>616</v>
      </c>
      <c r="D22" s="4">
        <f>-L23*0.6</f>
        <v>-1050</v>
      </c>
      <c r="E22" s="4">
        <f>+D22</f>
        <v>-1050</v>
      </c>
      <c r="F22" s="4">
        <f t="shared" ref="F22:I22" si="1">+E22</f>
        <v>-1050</v>
      </c>
      <c r="G22" s="4">
        <f t="shared" si="1"/>
        <v>-1050</v>
      </c>
      <c r="H22" s="4">
        <f t="shared" si="1"/>
        <v>-1050</v>
      </c>
      <c r="I22" s="4">
        <f t="shared" si="1"/>
        <v>-1050</v>
      </c>
    </row>
    <row r="23" spans="2:13" x14ac:dyDescent="0.4">
      <c r="B23" s="4" t="s">
        <v>175</v>
      </c>
      <c r="C23" s="175">
        <f>+SUM(C19:C22)</f>
        <v>-3000</v>
      </c>
      <c r="D23" s="175">
        <f t="shared" ref="D23:I23" si="2">+SUM(D19:D22)</f>
        <v>-510</v>
      </c>
      <c r="E23" s="175">
        <f t="shared" si="2"/>
        <v>-3210</v>
      </c>
      <c r="F23" s="175">
        <f t="shared" si="2"/>
        <v>-510</v>
      </c>
      <c r="G23" s="175">
        <f t="shared" si="2"/>
        <v>-3210</v>
      </c>
      <c r="H23" s="175">
        <f t="shared" si="2"/>
        <v>-510</v>
      </c>
      <c r="I23" s="175">
        <f t="shared" si="2"/>
        <v>-210</v>
      </c>
      <c r="K23" s="4" t="s">
        <v>177</v>
      </c>
      <c r="L23" s="4">
        <v>1750</v>
      </c>
      <c r="M23" s="4">
        <v>2000</v>
      </c>
    </row>
    <row r="24" spans="2:13" x14ac:dyDescent="0.4">
      <c r="B24" s="4" t="s">
        <v>9</v>
      </c>
      <c r="C24" s="175">
        <f>+C23*C$39</f>
        <v>-3000</v>
      </c>
      <c r="D24" s="175">
        <f t="shared" ref="D24:I24" si="3">+D23*D$39</f>
        <v>-476.64600000000002</v>
      </c>
      <c r="E24" s="175">
        <f t="shared" si="3"/>
        <v>-2803.614</v>
      </c>
      <c r="F24" s="175">
        <f t="shared" si="3"/>
        <v>-416.31299999999999</v>
      </c>
      <c r="G24" s="175">
        <f t="shared" si="3"/>
        <v>-2448.9090000000001</v>
      </c>
      <c r="H24" s="175">
        <f t="shared" si="3"/>
        <v>-363.63</v>
      </c>
      <c r="I24" s="175">
        <f t="shared" si="3"/>
        <v>-139.923</v>
      </c>
    </row>
    <row r="25" spans="2:13" ht="16.8" thickBot="1" x14ac:dyDescent="0.45">
      <c r="B25" s="4" t="s">
        <v>79</v>
      </c>
      <c r="C25" s="172">
        <f>+SUM(C24:I24)</f>
        <v>-9649.0349999999999</v>
      </c>
    </row>
    <row r="26" spans="2:13" ht="16.8" thickTop="1" x14ac:dyDescent="0.4"/>
    <row r="27" spans="2:13" x14ac:dyDescent="0.4">
      <c r="B27" s="12" t="s">
        <v>613</v>
      </c>
      <c r="C27" s="12"/>
      <c r="D27" s="173" t="s">
        <v>610</v>
      </c>
      <c r="E27" s="173"/>
      <c r="F27" s="173"/>
      <c r="G27" s="173" t="s">
        <v>611</v>
      </c>
      <c r="H27" s="173"/>
      <c r="I27" s="173"/>
    </row>
    <row r="28" spans="2:13" x14ac:dyDescent="0.4">
      <c r="D28" s="25" t="s">
        <v>607</v>
      </c>
      <c r="E28" s="29" t="s">
        <v>608</v>
      </c>
      <c r="F28" s="25" t="s">
        <v>62</v>
      </c>
      <c r="G28" s="29" t="s">
        <v>63</v>
      </c>
      <c r="H28" s="25" t="s">
        <v>64</v>
      </c>
      <c r="I28" s="29" t="s">
        <v>157</v>
      </c>
    </row>
    <row r="29" spans="2:13" x14ac:dyDescent="0.4">
      <c r="D29" s="27"/>
      <c r="E29" s="30"/>
      <c r="F29" s="27"/>
      <c r="G29" s="30"/>
      <c r="H29" s="27"/>
      <c r="I29" s="30"/>
    </row>
    <row r="30" spans="2:13" x14ac:dyDescent="0.4">
      <c r="B30" s="4" t="s">
        <v>614</v>
      </c>
      <c r="C30" s="4">
        <f>-M18</f>
        <v>-4000</v>
      </c>
      <c r="F30" s="4">
        <f>-M18</f>
        <v>-4000</v>
      </c>
    </row>
    <row r="31" spans="2:13" x14ac:dyDescent="0.4">
      <c r="B31" s="4" t="s">
        <v>615</v>
      </c>
      <c r="F31" s="4">
        <f>+M20</f>
        <v>400</v>
      </c>
      <c r="I31" s="4">
        <f>+M20</f>
        <v>400</v>
      </c>
    </row>
    <row r="32" spans="2:13" x14ac:dyDescent="0.4">
      <c r="B32" s="4" t="s">
        <v>173</v>
      </c>
      <c r="D32" s="4">
        <f>+M21*0.4</f>
        <v>480</v>
      </c>
      <c r="E32" s="4">
        <f>+D32</f>
        <v>480</v>
      </c>
      <c r="F32" s="4">
        <f t="shared" ref="F32:I32" si="4">+E32</f>
        <v>480</v>
      </c>
      <c r="G32" s="4">
        <f t="shared" si="4"/>
        <v>480</v>
      </c>
      <c r="H32" s="4">
        <f t="shared" si="4"/>
        <v>480</v>
      </c>
      <c r="I32" s="4">
        <f t="shared" si="4"/>
        <v>480</v>
      </c>
    </row>
    <row r="33" spans="1:9" x14ac:dyDescent="0.4">
      <c r="B33" s="4" t="s">
        <v>616</v>
      </c>
      <c r="D33" s="4">
        <f>-M23*0.6</f>
        <v>-1200</v>
      </c>
      <c r="E33" s="4">
        <f>+D33</f>
        <v>-1200</v>
      </c>
      <c r="F33" s="4">
        <f t="shared" ref="F33:I33" si="5">+E33</f>
        <v>-1200</v>
      </c>
      <c r="G33" s="4">
        <f t="shared" si="5"/>
        <v>-1200</v>
      </c>
      <c r="H33" s="4">
        <f t="shared" si="5"/>
        <v>-1200</v>
      </c>
      <c r="I33" s="4">
        <f t="shared" si="5"/>
        <v>-1200</v>
      </c>
    </row>
    <row r="34" spans="1:9" x14ac:dyDescent="0.4">
      <c r="B34" s="4" t="s">
        <v>175</v>
      </c>
      <c r="C34" s="175">
        <f>+SUM(C30:C33)</f>
        <v>-4000</v>
      </c>
      <c r="D34" s="175">
        <f t="shared" ref="D34" si="6">+SUM(D30:D33)</f>
        <v>-720</v>
      </c>
      <c r="E34" s="175">
        <f t="shared" ref="E34" si="7">+SUM(E30:E33)</f>
        <v>-720</v>
      </c>
      <c r="F34" s="175">
        <f t="shared" ref="F34" si="8">+SUM(F30:F33)</f>
        <v>-4320</v>
      </c>
      <c r="G34" s="175">
        <f t="shared" ref="G34" si="9">+SUM(G30:G33)</f>
        <v>-720</v>
      </c>
      <c r="H34" s="175">
        <f t="shared" ref="H34" si="10">+SUM(H30:H33)</f>
        <v>-720</v>
      </c>
      <c r="I34" s="175">
        <f t="shared" ref="I34" si="11">+SUM(I30:I33)</f>
        <v>-320</v>
      </c>
    </row>
    <row r="35" spans="1:9" x14ac:dyDescent="0.4">
      <c r="B35" s="4" t="s">
        <v>9</v>
      </c>
      <c r="C35" s="175">
        <f>+C34*C$39</f>
        <v>-4000</v>
      </c>
      <c r="D35" s="175">
        <f t="shared" ref="D35" si="12">+D34*D$39</f>
        <v>-672.91200000000003</v>
      </c>
      <c r="E35" s="175">
        <f t="shared" ref="E35" si="13">+E34*E$39</f>
        <v>-628.84799999999996</v>
      </c>
      <c r="F35" s="175">
        <f t="shared" ref="F35" si="14">+F34*F$39</f>
        <v>-3526.4160000000002</v>
      </c>
      <c r="G35" s="175">
        <f t="shared" ref="G35" si="15">+G34*G$39</f>
        <v>-549.28800000000001</v>
      </c>
      <c r="H35" s="175">
        <f t="shared" ref="H35" si="16">+H34*H$39</f>
        <v>-513.36</v>
      </c>
      <c r="I35" s="175">
        <f t="shared" ref="I35" si="17">+I34*I$39</f>
        <v>-213.21600000000001</v>
      </c>
    </row>
    <row r="36" spans="1:9" ht="16.8" thickBot="1" x14ac:dyDescent="0.45">
      <c r="B36" s="4" t="s">
        <v>79</v>
      </c>
      <c r="C36" s="172">
        <f>+SUM(C35:I35)</f>
        <v>-10104.040000000001</v>
      </c>
    </row>
    <row r="37" spans="1:9" ht="16.8" thickTop="1" x14ac:dyDescent="0.4"/>
    <row r="39" spans="1:9" x14ac:dyDescent="0.4">
      <c r="B39" s="4" t="s">
        <v>1</v>
      </c>
      <c r="C39" s="119">
        <v>1</v>
      </c>
      <c r="D39" s="119">
        <v>0.93459999999999999</v>
      </c>
      <c r="E39" s="119">
        <v>0.87339999999999995</v>
      </c>
      <c r="F39" s="119">
        <v>0.81630000000000003</v>
      </c>
      <c r="G39" s="119">
        <v>0.76290000000000002</v>
      </c>
      <c r="H39" s="119">
        <v>0.71299999999999997</v>
      </c>
      <c r="I39" s="119">
        <v>0.6663</v>
      </c>
    </row>
    <row r="41" spans="1:9" x14ac:dyDescent="0.4">
      <c r="B41" s="4" t="s">
        <v>621</v>
      </c>
      <c r="C41" s="82">
        <f>+C25-C36</f>
        <v>455.00500000000102</v>
      </c>
      <c r="D41" s="4" t="s">
        <v>622</v>
      </c>
    </row>
    <row r="43" spans="1:9" x14ac:dyDescent="0.4">
      <c r="A43" s="4" t="s">
        <v>620</v>
      </c>
    </row>
    <row r="44" spans="1:9" x14ac:dyDescent="0.4">
      <c r="B44" s="12" t="s">
        <v>613</v>
      </c>
      <c r="C44" s="12"/>
      <c r="D44" s="173" t="s">
        <v>610</v>
      </c>
      <c r="E44" s="173"/>
      <c r="F44" s="173"/>
      <c r="G44" s="173" t="s">
        <v>611</v>
      </c>
      <c r="H44" s="173"/>
      <c r="I44" s="173"/>
    </row>
    <row r="45" spans="1:9" x14ac:dyDescent="0.4">
      <c r="D45" s="25" t="s">
        <v>156</v>
      </c>
      <c r="E45" s="29" t="s">
        <v>155</v>
      </c>
      <c r="F45" s="25" t="s">
        <v>62</v>
      </c>
      <c r="G45" s="29" t="s">
        <v>63</v>
      </c>
      <c r="H45" s="25" t="s">
        <v>64</v>
      </c>
      <c r="I45" s="29" t="s">
        <v>157</v>
      </c>
    </row>
    <row r="46" spans="1:9" x14ac:dyDescent="0.4">
      <c r="D46" s="27"/>
      <c r="E46" s="30"/>
      <c r="F46" s="27"/>
      <c r="G46" s="30"/>
      <c r="H46" s="27"/>
      <c r="I46" s="30"/>
    </row>
    <row r="47" spans="1:9" x14ac:dyDescent="0.4">
      <c r="B47" s="4" t="s">
        <v>614</v>
      </c>
      <c r="C47" s="4">
        <f>+C30</f>
        <v>-4000</v>
      </c>
      <c r="F47" s="4">
        <f t="shared" ref="F47" si="18">+F30</f>
        <v>-4000</v>
      </c>
    </row>
    <row r="48" spans="1:9" x14ac:dyDescent="0.4">
      <c r="B48" s="4" t="s">
        <v>615</v>
      </c>
      <c r="F48" s="4">
        <f t="shared" ref="F48:I48" si="19">+F31</f>
        <v>400</v>
      </c>
      <c r="I48" s="4">
        <f t="shared" si="19"/>
        <v>400</v>
      </c>
    </row>
    <row r="49" spans="2:9" x14ac:dyDescent="0.4">
      <c r="B49" s="4" t="s">
        <v>173</v>
      </c>
      <c r="D49" s="4">
        <f t="shared" ref="D49:I49" si="20">+D32</f>
        <v>480</v>
      </c>
      <c r="E49" s="4">
        <f t="shared" si="20"/>
        <v>480</v>
      </c>
      <c r="F49" s="4">
        <f t="shared" si="20"/>
        <v>480</v>
      </c>
      <c r="G49" s="4">
        <f t="shared" si="20"/>
        <v>480</v>
      </c>
      <c r="H49" s="4">
        <f t="shared" si="20"/>
        <v>480</v>
      </c>
      <c r="I49" s="4">
        <f t="shared" si="20"/>
        <v>480</v>
      </c>
    </row>
    <row r="50" spans="2:9" x14ac:dyDescent="0.4">
      <c r="B50" s="4" t="s">
        <v>616</v>
      </c>
      <c r="D50" s="178" t="s">
        <v>626</v>
      </c>
      <c r="E50" s="179"/>
      <c r="F50" s="179"/>
      <c r="G50" s="179"/>
      <c r="H50" s="179"/>
      <c r="I50" s="180"/>
    </row>
    <row r="51" spans="2:9" x14ac:dyDescent="0.4">
      <c r="B51" s="4" t="s">
        <v>175</v>
      </c>
      <c r="C51" s="175">
        <f>+SUM(C47:C50)</f>
        <v>-4000</v>
      </c>
      <c r="D51" s="175">
        <f t="shared" ref="D51" si="21">+SUM(D47:D50)</f>
        <v>480</v>
      </c>
      <c r="E51" s="175">
        <f t="shared" ref="E51:I51" si="22">+SUM(E47:E50)</f>
        <v>480</v>
      </c>
      <c r="F51" s="175">
        <f t="shared" si="22"/>
        <v>-3120</v>
      </c>
      <c r="G51" s="175">
        <f t="shared" si="22"/>
        <v>480</v>
      </c>
      <c r="H51" s="175">
        <f t="shared" si="22"/>
        <v>480</v>
      </c>
      <c r="I51" s="175">
        <f t="shared" si="22"/>
        <v>880</v>
      </c>
    </row>
    <row r="52" spans="2:9" x14ac:dyDescent="0.4">
      <c r="B52" s="4" t="s">
        <v>9</v>
      </c>
      <c r="C52" s="175">
        <f>+C51*C$39</f>
        <v>-4000</v>
      </c>
      <c r="D52" s="175">
        <f t="shared" ref="D52:I52" si="23">+D51*D$39</f>
        <v>448.608</v>
      </c>
      <c r="E52" s="175">
        <f t="shared" si="23"/>
        <v>419.23199999999997</v>
      </c>
      <c r="F52" s="175">
        <f t="shared" si="23"/>
        <v>-2546.8560000000002</v>
      </c>
      <c r="G52" s="175">
        <f t="shared" si="23"/>
        <v>366.19200000000001</v>
      </c>
      <c r="H52" s="175">
        <f t="shared" si="23"/>
        <v>342.24</v>
      </c>
      <c r="I52" s="175">
        <f t="shared" si="23"/>
        <v>586.34400000000005</v>
      </c>
    </row>
    <row r="53" spans="2:9" x14ac:dyDescent="0.4">
      <c r="C53" s="39"/>
      <c r="D53" s="36"/>
      <c r="E53" s="36"/>
      <c r="F53" s="36"/>
      <c r="G53" s="36"/>
      <c r="H53" s="36"/>
      <c r="I53" s="36"/>
    </row>
    <row r="54" spans="2:9" ht="16.8" thickBot="1" x14ac:dyDescent="0.45">
      <c r="B54" s="4" t="s">
        <v>79</v>
      </c>
      <c r="C54" s="172">
        <f>+C25</f>
        <v>-9649.0349999999999</v>
      </c>
    </row>
    <row r="55" spans="2:9" ht="16.8" thickTop="1" x14ac:dyDescent="0.4"/>
    <row r="56" spans="2:9" x14ac:dyDescent="0.4">
      <c r="B56" s="4" t="s">
        <v>624</v>
      </c>
      <c r="D56" s="176">
        <f>+SUM(D39:I39)</f>
        <v>4.7664999999999997</v>
      </c>
      <c r="E56" s="175"/>
      <c r="F56" s="175"/>
      <c r="G56" s="175"/>
      <c r="H56" s="175"/>
      <c r="I56" s="177"/>
    </row>
    <row r="57" spans="2:9" x14ac:dyDescent="0.4">
      <c r="B57" s="4" t="s">
        <v>625</v>
      </c>
    </row>
    <row r="58" spans="2:9" x14ac:dyDescent="0.4">
      <c r="C58" s="47">
        <f>+SUM(C52:I52)-C54</f>
        <v>5264.7950000000001</v>
      </c>
    </row>
    <row r="59" spans="2:9" x14ac:dyDescent="0.4">
      <c r="B59" s="4" t="s">
        <v>627</v>
      </c>
      <c r="C59" s="181">
        <f>+C58/D56/0.6</f>
        <v>1840.9017797825099</v>
      </c>
      <c r="D59" s="4" t="s">
        <v>628</v>
      </c>
    </row>
  </sheetData>
  <phoneticPr fontId="3"/>
  <pageMargins left="0.25" right="0.25" top="0.75" bottom="0.75" header="0.3" footer="0.3"/>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34"/>
  <sheetViews>
    <sheetView zoomScale="90" zoomScaleNormal="90" zoomScaleSheetLayoutView="100" workbookViewId="0">
      <selection activeCell="Q14" sqref="Q14"/>
    </sheetView>
  </sheetViews>
  <sheetFormatPr defaultColWidth="12" defaultRowHeight="16.2" x14ac:dyDescent="0.4"/>
  <cols>
    <col min="1" max="1" width="12.109375" style="4" customWidth="1"/>
    <col min="2" max="6" width="13.109375" style="4" customWidth="1"/>
    <col min="7" max="8" width="12.6640625" style="4" customWidth="1"/>
    <col min="9" max="11" width="13.109375" style="4" customWidth="1"/>
    <col min="12" max="12" width="12" style="4"/>
    <col min="13" max="13" width="11.88671875" style="4" customWidth="1"/>
    <col min="14" max="16384" width="12" style="4"/>
  </cols>
  <sheetData>
    <row r="1" spans="1:22" x14ac:dyDescent="0.4">
      <c r="A1" s="1" t="s">
        <v>302</v>
      </c>
      <c r="B1" s="2"/>
      <c r="C1" s="2"/>
      <c r="D1" s="2"/>
      <c r="E1" s="2"/>
      <c r="F1" s="2"/>
      <c r="G1" s="2"/>
      <c r="H1" s="2"/>
      <c r="I1" s="2"/>
      <c r="J1" s="2"/>
      <c r="K1" s="2"/>
      <c r="L1" s="2"/>
      <c r="M1" s="2"/>
      <c r="N1" s="2"/>
      <c r="O1" s="2"/>
      <c r="P1" s="2"/>
      <c r="Q1" s="2"/>
      <c r="R1" s="3"/>
    </row>
    <row r="2" spans="1:22" x14ac:dyDescent="0.4">
      <c r="A2" s="5" t="s">
        <v>286</v>
      </c>
      <c r="B2" s="6"/>
      <c r="C2" s="6"/>
      <c r="D2" s="6"/>
      <c r="E2" s="6"/>
      <c r="F2" s="6"/>
      <c r="G2" s="6"/>
      <c r="H2" s="6"/>
      <c r="I2" s="6"/>
      <c r="J2" s="6"/>
      <c r="K2" s="6"/>
      <c r="L2" s="6"/>
      <c r="M2" s="6"/>
      <c r="N2" s="6"/>
      <c r="O2" s="6"/>
      <c r="P2" s="6"/>
      <c r="Q2" s="6"/>
      <c r="R2" s="7"/>
    </row>
    <row r="3" spans="1:22" x14ac:dyDescent="0.4">
      <c r="A3" s="8" t="s">
        <v>847</v>
      </c>
      <c r="B3" s="9"/>
      <c r="C3" s="9"/>
      <c r="D3" s="9"/>
      <c r="E3" s="9"/>
      <c r="F3" s="9"/>
      <c r="G3" s="9"/>
      <c r="H3" s="9"/>
      <c r="I3" s="9"/>
      <c r="J3" s="9"/>
      <c r="K3" s="9"/>
      <c r="L3" s="9"/>
      <c r="M3" s="9"/>
      <c r="N3" s="9"/>
      <c r="O3" s="9"/>
      <c r="P3" s="9"/>
      <c r="Q3" s="9"/>
      <c r="R3" s="10"/>
    </row>
    <row r="4" spans="1:22" s="12" customFormat="1" x14ac:dyDescent="0.4">
      <c r="A4" s="11"/>
      <c r="B4" s="11"/>
      <c r="C4" s="11"/>
      <c r="D4" s="11"/>
      <c r="E4" s="11"/>
      <c r="F4" s="11"/>
      <c r="G4" s="11"/>
      <c r="H4" s="11"/>
      <c r="I4" s="11"/>
      <c r="J4" s="11"/>
      <c r="K4" s="11"/>
      <c r="L4" s="11"/>
      <c r="M4" s="11"/>
      <c r="N4" s="11"/>
      <c r="O4" s="11"/>
      <c r="P4" s="11"/>
      <c r="Q4" s="11"/>
      <c r="R4" s="11"/>
    </row>
    <row r="5" spans="1:22" ht="18" customHeight="1" x14ac:dyDescent="0.4">
      <c r="A5" s="13" t="s">
        <v>846</v>
      </c>
      <c r="B5" s="14"/>
      <c r="C5" s="14"/>
      <c r="D5" s="14"/>
      <c r="E5" s="14"/>
      <c r="F5" s="14"/>
      <c r="G5" s="14"/>
      <c r="H5" s="14"/>
      <c r="I5" s="14"/>
      <c r="J5" s="14"/>
      <c r="K5" s="14"/>
      <c r="L5" s="14"/>
      <c r="M5" s="14"/>
      <c r="N5" s="14"/>
      <c r="O5" s="14"/>
      <c r="P5" s="14"/>
      <c r="Q5" s="14"/>
      <c r="R5" s="14"/>
      <c r="S5" s="15"/>
    </row>
    <row r="6" spans="1:22" x14ac:dyDescent="0.4">
      <c r="A6" s="16" t="s">
        <v>845</v>
      </c>
      <c r="B6" s="17"/>
      <c r="C6" s="17"/>
      <c r="D6" s="17"/>
      <c r="E6" s="17"/>
      <c r="F6" s="17"/>
      <c r="G6" s="17"/>
      <c r="H6" s="17"/>
      <c r="I6" s="17"/>
      <c r="J6" s="17"/>
      <c r="K6" s="17"/>
      <c r="L6" s="17"/>
      <c r="M6" s="17"/>
      <c r="N6" s="17"/>
      <c r="O6" s="17"/>
      <c r="P6" s="17"/>
      <c r="Q6" s="17"/>
      <c r="R6" s="17"/>
      <c r="S6" s="18"/>
    </row>
    <row r="7" spans="1:22" x14ac:dyDescent="0.4">
      <c r="A7" s="19" t="s">
        <v>844</v>
      </c>
      <c r="B7" s="20"/>
      <c r="C7" s="20"/>
      <c r="D7" s="20"/>
      <c r="E7" s="20"/>
      <c r="F7" s="20"/>
      <c r="G7" s="20"/>
      <c r="H7" s="20"/>
      <c r="I7" s="20"/>
      <c r="J7" s="46"/>
      <c r="K7" s="20"/>
      <c r="L7" s="20"/>
      <c r="M7" s="20"/>
      <c r="N7" s="20"/>
      <c r="O7" s="20"/>
      <c r="P7" s="20"/>
      <c r="Q7" s="20"/>
      <c r="R7" s="20"/>
      <c r="S7" s="21"/>
    </row>
    <row r="8" spans="1:22" s="12" customFormat="1" ht="17.25" customHeight="1" x14ac:dyDescent="0.4">
      <c r="D8" s="22"/>
      <c r="E8" s="22"/>
      <c r="F8" s="22"/>
      <c r="G8" s="22"/>
      <c r="H8" s="22"/>
      <c r="I8" s="22"/>
      <c r="J8" s="22"/>
      <c r="K8" s="22"/>
      <c r="L8" s="22"/>
      <c r="M8" s="22"/>
      <c r="N8" s="22"/>
      <c r="O8" s="22"/>
      <c r="P8" s="22"/>
      <c r="Q8" s="22"/>
      <c r="R8" s="22"/>
      <c r="S8" s="22"/>
      <c r="T8" s="22"/>
      <c r="U8" s="22"/>
      <c r="V8" s="22"/>
    </row>
    <row r="9" spans="1:22" x14ac:dyDescent="0.4">
      <c r="A9" s="4" t="s">
        <v>814</v>
      </c>
      <c r="F9" s="4" t="s">
        <v>843</v>
      </c>
      <c r="G9" s="183" t="s">
        <v>842</v>
      </c>
    </row>
    <row r="10" spans="1:22" x14ac:dyDescent="0.4">
      <c r="A10" s="4" t="s">
        <v>841</v>
      </c>
      <c r="D10" s="4" t="s">
        <v>342</v>
      </c>
      <c r="F10" s="4" t="s">
        <v>840</v>
      </c>
      <c r="H10" s="4" t="s">
        <v>839</v>
      </c>
    </row>
    <row r="11" spans="1:22" x14ac:dyDescent="0.4">
      <c r="C11" s="4" t="s">
        <v>191</v>
      </c>
      <c r="D11" s="4">
        <v>4500</v>
      </c>
      <c r="H11" s="4">
        <v>900</v>
      </c>
    </row>
    <row r="12" spans="1:22" x14ac:dyDescent="0.4">
      <c r="A12" s="4" t="s">
        <v>400</v>
      </c>
      <c r="C12" s="4">
        <v>600</v>
      </c>
      <c r="G12" s="4">
        <v>400</v>
      </c>
    </row>
    <row r="13" spans="1:22" x14ac:dyDescent="0.4">
      <c r="A13" s="4" t="s">
        <v>838</v>
      </c>
      <c r="C13" s="4">
        <v>290</v>
      </c>
      <c r="G13" s="4">
        <f>+C13</f>
        <v>290</v>
      </c>
    </row>
    <row r="14" spans="1:22" x14ac:dyDescent="0.4">
      <c r="A14" s="4" t="s">
        <v>837</v>
      </c>
      <c r="B14" s="4" t="s">
        <v>836</v>
      </c>
      <c r="C14" s="4">
        <v>30</v>
      </c>
      <c r="G14" s="4">
        <v>0</v>
      </c>
    </row>
    <row r="15" spans="1:22" x14ac:dyDescent="0.4">
      <c r="B15" s="4" t="s">
        <v>835</v>
      </c>
      <c r="C15" s="4">
        <v>10</v>
      </c>
      <c r="G15" s="4">
        <f>+C15</f>
        <v>10</v>
      </c>
    </row>
    <row r="16" spans="1:22" x14ac:dyDescent="0.4">
      <c r="A16" s="4" t="s">
        <v>352</v>
      </c>
      <c r="C16" s="175">
        <f>+C12-SUM(C13:C15)</f>
        <v>270</v>
      </c>
      <c r="F16" s="4" t="s">
        <v>834</v>
      </c>
      <c r="G16" s="206">
        <f>+G12-SUM(G13:G15)</f>
        <v>100</v>
      </c>
      <c r="H16" s="4" t="s">
        <v>833</v>
      </c>
    </row>
    <row r="17" spans="1:9" x14ac:dyDescent="0.4">
      <c r="G17" s="183" t="s">
        <v>832</v>
      </c>
    </row>
    <row r="18" spans="1:9" x14ac:dyDescent="0.4">
      <c r="A18" s="185" t="s">
        <v>831</v>
      </c>
      <c r="B18" s="185"/>
      <c r="C18" s="185"/>
      <c r="D18" s="185">
        <v>1000000</v>
      </c>
    </row>
    <row r="19" spans="1:9" x14ac:dyDescent="0.4">
      <c r="A19" s="185" t="s">
        <v>759</v>
      </c>
      <c r="B19" s="185"/>
      <c r="C19" s="185"/>
      <c r="D19" s="185">
        <v>100000</v>
      </c>
    </row>
    <row r="20" spans="1:9" x14ac:dyDescent="0.4">
      <c r="A20" s="183" t="s">
        <v>830</v>
      </c>
    </row>
    <row r="21" spans="1:9" x14ac:dyDescent="0.4">
      <c r="F21" s="4" t="s">
        <v>829</v>
      </c>
      <c r="G21" s="183" t="s">
        <v>828</v>
      </c>
    </row>
    <row r="22" spans="1:9" x14ac:dyDescent="0.4">
      <c r="F22" s="4" t="s">
        <v>827</v>
      </c>
    </row>
    <row r="24" spans="1:9" x14ac:dyDescent="0.4">
      <c r="F24" s="4" t="s">
        <v>826</v>
      </c>
    </row>
    <row r="25" spans="1:9" x14ac:dyDescent="0.4">
      <c r="G25" s="4" t="s">
        <v>352</v>
      </c>
      <c r="H25" s="136">
        <f>+G16*H11</f>
        <v>90000</v>
      </c>
    </row>
    <row r="27" spans="1:9" x14ac:dyDescent="0.4">
      <c r="F27" s="4" t="s">
        <v>825</v>
      </c>
    </row>
    <row r="28" spans="1:9" x14ac:dyDescent="0.4">
      <c r="G28" s="4" t="s">
        <v>824</v>
      </c>
      <c r="H28" s="136">
        <f>+D11*30</f>
        <v>135000</v>
      </c>
    </row>
    <row r="30" spans="1:9" x14ac:dyDescent="0.4">
      <c r="G30" s="118" t="s">
        <v>772</v>
      </c>
      <c r="H30" s="82">
        <f>+H25-H28</f>
        <v>-45000</v>
      </c>
      <c r="I30" s="4" t="s">
        <v>823</v>
      </c>
    </row>
    <row r="33" spans="1:19" x14ac:dyDescent="0.4">
      <c r="F33" s="4" t="s">
        <v>822</v>
      </c>
    </row>
    <row r="34" spans="1:19" x14ac:dyDescent="0.4">
      <c r="F34" s="4" t="s">
        <v>821</v>
      </c>
    </row>
    <row r="36" spans="1:19" x14ac:dyDescent="0.4">
      <c r="F36" s="4" t="s">
        <v>820</v>
      </c>
    </row>
    <row r="37" spans="1:19" x14ac:dyDescent="0.4">
      <c r="G37" s="4" t="s">
        <v>819</v>
      </c>
      <c r="H37" s="32">
        <f>+H25/D11</f>
        <v>20</v>
      </c>
    </row>
    <row r="38" spans="1:19" x14ac:dyDescent="0.4">
      <c r="H38" s="82">
        <f>+C12-H37</f>
        <v>580</v>
      </c>
      <c r="I38" s="4" t="s">
        <v>818</v>
      </c>
    </row>
    <row r="40" spans="1:19" ht="18" customHeight="1" x14ac:dyDescent="0.4">
      <c r="A40" s="13" t="s">
        <v>817</v>
      </c>
      <c r="B40" s="14"/>
      <c r="C40" s="14"/>
      <c r="D40" s="14"/>
      <c r="E40" s="14"/>
      <c r="F40" s="14"/>
      <c r="G40" s="14"/>
      <c r="H40" s="14"/>
      <c r="I40" s="14"/>
      <c r="J40" s="14"/>
      <c r="K40" s="14"/>
      <c r="L40" s="14"/>
      <c r="M40" s="14"/>
      <c r="N40" s="14"/>
      <c r="O40" s="14"/>
      <c r="P40" s="14"/>
      <c r="Q40" s="14"/>
      <c r="R40" s="14"/>
      <c r="S40" s="15"/>
    </row>
    <row r="41" spans="1:19" x14ac:dyDescent="0.4">
      <c r="A41" s="16" t="s">
        <v>816</v>
      </c>
      <c r="B41" s="17"/>
      <c r="C41" s="17"/>
      <c r="D41" s="17"/>
      <c r="E41" s="17"/>
      <c r="F41" s="17"/>
      <c r="G41" s="17"/>
      <c r="H41" s="17"/>
      <c r="I41" s="17"/>
      <c r="J41" s="17"/>
      <c r="K41" s="17"/>
      <c r="L41" s="17"/>
      <c r="M41" s="17"/>
      <c r="N41" s="17"/>
      <c r="O41" s="17"/>
      <c r="P41" s="17"/>
      <c r="Q41" s="17"/>
      <c r="R41" s="17"/>
      <c r="S41" s="18"/>
    </row>
    <row r="42" spans="1:19" x14ac:dyDescent="0.4">
      <c r="A42" s="19" t="s">
        <v>815</v>
      </c>
      <c r="B42" s="20"/>
      <c r="C42" s="20"/>
      <c r="D42" s="20"/>
      <c r="E42" s="20"/>
      <c r="F42" s="20"/>
      <c r="G42" s="20"/>
      <c r="H42" s="20"/>
      <c r="I42" s="20"/>
      <c r="J42" s="46"/>
      <c r="K42" s="20"/>
      <c r="L42" s="20"/>
      <c r="M42" s="20"/>
      <c r="N42" s="20"/>
      <c r="O42" s="20"/>
      <c r="P42" s="20"/>
      <c r="Q42" s="20"/>
      <c r="R42" s="20"/>
      <c r="S42" s="21"/>
    </row>
    <row r="44" spans="1:19" x14ac:dyDescent="0.4">
      <c r="A44" s="4" t="s">
        <v>814</v>
      </c>
    </row>
    <row r="45" spans="1:19" x14ac:dyDescent="0.4">
      <c r="A45" s="4" t="s">
        <v>289</v>
      </c>
      <c r="G45" s="38" t="s">
        <v>813</v>
      </c>
    </row>
    <row r="46" spans="1:19" x14ac:dyDescent="0.4">
      <c r="B46" s="4" t="s">
        <v>191</v>
      </c>
      <c r="C46" s="4" t="s">
        <v>365</v>
      </c>
      <c r="G46" s="4" t="s">
        <v>812</v>
      </c>
      <c r="H46" s="4">
        <v>3500000</v>
      </c>
    </row>
    <row r="47" spans="1:19" x14ac:dyDescent="0.4">
      <c r="A47" s="4" t="s">
        <v>811</v>
      </c>
      <c r="G47" s="4" t="s">
        <v>810</v>
      </c>
      <c r="H47" s="4">
        <v>20000</v>
      </c>
    </row>
    <row r="48" spans="1:19" x14ac:dyDescent="0.4">
      <c r="A48" s="4" t="s">
        <v>657</v>
      </c>
      <c r="D48" s="4">
        <v>4000</v>
      </c>
    </row>
    <row r="49" spans="1:20" x14ac:dyDescent="0.4">
      <c r="A49" s="4" t="s">
        <v>658</v>
      </c>
      <c r="B49" s="4">
        <v>500</v>
      </c>
      <c r="C49" s="4">
        <v>4</v>
      </c>
      <c r="D49" s="4">
        <f>+B49*C49</f>
        <v>2000</v>
      </c>
      <c r="G49" s="4" t="s">
        <v>809</v>
      </c>
      <c r="H49" s="4">
        <v>125</v>
      </c>
      <c r="I49" s="4" t="s">
        <v>378</v>
      </c>
    </row>
    <row r="50" spans="1:20" x14ac:dyDescent="0.4">
      <c r="A50" s="4" t="s">
        <v>446</v>
      </c>
      <c r="B50" s="136">
        <f>+H49</f>
        <v>125</v>
      </c>
      <c r="C50" s="4">
        <v>4</v>
      </c>
      <c r="D50" s="4">
        <f>+B50*C50</f>
        <v>500</v>
      </c>
      <c r="G50" s="4" t="s">
        <v>808</v>
      </c>
      <c r="H50" s="4">
        <f>+H46-H47*H49</f>
        <v>1000000</v>
      </c>
      <c r="I50" s="4" t="s">
        <v>807</v>
      </c>
    </row>
    <row r="51" spans="1:20" x14ac:dyDescent="0.4">
      <c r="A51" s="4" t="s">
        <v>806</v>
      </c>
      <c r="D51" s="175">
        <f>+SUM(D48:D50)</f>
        <v>6500</v>
      </c>
    </row>
    <row r="52" spans="1:20" x14ac:dyDescent="0.4">
      <c r="K52" s="183" t="s">
        <v>805</v>
      </c>
    </row>
    <row r="53" spans="1:20" x14ac:dyDescent="0.4">
      <c r="K53" s="183" t="s">
        <v>804</v>
      </c>
    </row>
    <row r="54" spans="1:20" x14ac:dyDescent="0.4">
      <c r="A54" s="4" t="s">
        <v>803</v>
      </c>
      <c r="G54" s="4" t="s">
        <v>802</v>
      </c>
      <c r="K54" s="185" t="s">
        <v>801</v>
      </c>
      <c r="L54" s="185"/>
      <c r="M54" s="185"/>
      <c r="N54" s="185"/>
      <c r="O54" s="185"/>
      <c r="P54" s="185"/>
      <c r="Q54" s="185"/>
      <c r="R54" s="185"/>
      <c r="S54" s="185"/>
      <c r="T54" s="185"/>
    </row>
    <row r="55" spans="1:20" x14ac:dyDescent="0.4">
      <c r="A55" s="4" t="s">
        <v>800</v>
      </c>
      <c r="G55" s="4" t="s">
        <v>799</v>
      </c>
      <c r="K55" s="185" t="s">
        <v>798</v>
      </c>
      <c r="L55" s="185"/>
      <c r="M55" s="185"/>
      <c r="N55" s="185"/>
      <c r="O55" s="185"/>
      <c r="P55" s="185"/>
      <c r="Q55" s="185"/>
      <c r="R55" s="185"/>
      <c r="S55" s="185"/>
      <c r="T55" s="185"/>
    </row>
    <row r="56" spans="1:20" x14ac:dyDescent="0.4">
      <c r="G56" s="4" t="s">
        <v>797</v>
      </c>
      <c r="K56" s="185" t="s">
        <v>796</v>
      </c>
      <c r="L56" s="185"/>
      <c r="M56" s="185"/>
      <c r="N56" s="185"/>
      <c r="O56" s="185"/>
      <c r="P56" s="185"/>
      <c r="Q56" s="185"/>
      <c r="R56" s="185"/>
      <c r="S56" s="185"/>
      <c r="T56" s="185"/>
    </row>
    <row r="57" spans="1:20" x14ac:dyDescent="0.4">
      <c r="K57" s="185" t="s">
        <v>795</v>
      </c>
      <c r="L57" s="185"/>
      <c r="M57" s="185"/>
      <c r="N57" s="185"/>
      <c r="O57" s="185"/>
      <c r="P57" s="185"/>
      <c r="Q57" s="185"/>
      <c r="R57" s="185"/>
      <c r="S57" s="185"/>
      <c r="T57" s="185"/>
    </row>
    <row r="58" spans="1:20" x14ac:dyDescent="0.4">
      <c r="K58" s="185"/>
      <c r="L58" s="185"/>
      <c r="M58" s="185"/>
      <c r="N58" s="185"/>
      <c r="O58" s="185"/>
      <c r="P58" s="185"/>
      <c r="Q58" s="185"/>
      <c r="R58" s="185"/>
      <c r="S58" s="185"/>
      <c r="T58" s="185"/>
    </row>
    <row r="59" spans="1:20" x14ac:dyDescent="0.4">
      <c r="B59" s="4" t="s">
        <v>794</v>
      </c>
      <c r="C59" s="4" t="s">
        <v>793</v>
      </c>
      <c r="G59" s="4" t="s">
        <v>793</v>
      </c>
      <c r="K59" s="185"/>
      <c r="L59" s="185" t="s">
        <v>792</v>
      </c>
      <c r="M59" s="185"/>
      <c r="N59" s="185"/>
      <c r="O59" s="185"/>
      <c r="P59" s="185"/>
      <c r="Q59" s="185" t="s">
        <v>791</v>
      </c>
      <c r="R59" s="185"/>
      <c r="S59" s="185"/>
      <c r="T59" s="185"/>
    </row>
    <row r="60" spans="1:20" x14ac:dyDescent="0.4">
      <c r="C60" s="4" t="s">
        <v>342</v>
      </c>
      <c r="D60" s="32">
        <v>100</v>
      </c>
      <c r="G60" s="4" t="s">
        <v>342</v>
      </c>
      <c r="H60" s="32" t="s">
        <v>790</v>
      </c>
      <c r="K60" s="185"/>
      <c r="L60" s="185" t="s">
        <v>342</v>
      </c>
      <c r="M60" s="185">
        <v>100</v>
      </c>
      <c r="N60" s="185"/>
      <c r="O60" s="185"/>
      <c r="P60" s="185"/>
      <c r="Q60" s="185"/>
      <c r="R60" s="185"/>
      <c r="S60" s="185"/>
      <c r="T60" s="185"/>
    </row>
    <row r="61" spans="1:20" x14ac:dyDescent="0.4">
      <c r="C61" s="4" t="s">
        <v>191</v>
      </c>
      <c r="D61" s="4" t="s">
        <v>365</v>
      </c>
      <c r="K61" s="185"/>
      <c r="L61" s="185" t="s">
        <v>191</v>
      </c>
      <c r="M61" s="185" t="s">
        <v>365</v>
      </c>
      <c r="N61" s="185"/>
      <c r="O61" s="185" t="s">
        <v>774</v>
      </c>
      <c r="P61" s="185"/>
      <c r="Q61" s="185" t="s">
        <v>191</v>
      </c>
      <c r="R61" s="185" t="s">
        <v>365</v>
      </c>
      <c r="S61" s="185"/>
      <c r="T61" s="185" t="s">
        <v>774</v>
      </c>
    </row>
    <row r="62" spans="1:20" x14ac:dyDescent="0.4">
      <c r="A62" s="4" t="s">
        <v>789</v>
      </c>
      <c r="B62" s="4">
        <v>3250</v>
      </c>
      <c r="K62" s="185" t="s">
        <v>789</v>
      </c>
      <c r="L62" s="185"/>
      <c r="M62" s="185"/>
      <c r="N62" s="32">
        <v>1820</v>
      </c>
      <c r="O62" s="185">
        <f>+N62*M60</f>
        <v>182000</v>
      </c>
      <c r="P62" s="185"/>
      <c r="Q62" s="185"/>
      <c r="R62" s="185"/>
      <c r="S62" s="32">
        <f>+B62</f>
        <v>3250</v>
      </c>
      <c r="T62" s="185">
        <f>+S62*M60</f>
        <v>325000</v>
      </c>
    </row>
    <row r="63" spans="1:20" x14ac:dyDescent="0.4">
      <c r="A63" s="4" t="s">
        <v>657</v>
      </c>
      <c r="E63" s="4">
        <v>2200</v>
      </c>
      <c r="G63" s="4" t="s">
        <v>788</v>
      </c>
      <c r="K63" s="185" t="s">
        <v>657</v>
      </c>
      <c r="L63" s="185"/>
      <c r="M63" s="185"/>
      <c r="N63" s="185">
        <f>+E63</f>
        <v>2200</v>
      </c>
      <c r="O63" s="185"/>
      <c r="P63" s="185"/>
      <c r="Q63" s="185"/>
      <c r="R63" s="185"/>
      <c r="S63" s="185">
        <v>750</v>
      </c>
      <c r="T63" s="185"/>
    </row>
    <row r="64" spans="1:20" x14ac:dyDescent="0.4">
      <c r="A64" s="4" t="s">
        <v>658</v>
      </c>
      <c r="C64" s="4">
        <v>350</v>
      </c>
      <c r="D64" s="4">
        <v>2</v>
      </c>
      <c r="E64" s="4">
        <f>+C64*D64</f>
        <v>700</v>
      </c>
      <c r="G64" s="118" t="s">
        <v>787</v>
      </c>
      <c r="H64" s="82">
        <f>9000/(B66-E66)</f>
        <v>90</v>
      </c>
      <c r="K64" s="185" t="s">
        <v>658</v>
      </c>
      <c r="L64" s="185">
        <f>+C64</f>
        <v>350</v>
      </c>
      <c r="M64" s="185">
        <f>+D64</f>
        <v>2</v>
      </c>
      <c r="N64" s="185">
        <f>+E64</f>
        <v>700</v>
      </c>
      <c r="O64" s="185"/>
      <c r="P64" s="185"/>
      <c r="Q64" s="185">
        <v>280</v>
      </c>
      <c r="R64" s="185">
        <v>2</v>
      </c>
      <c r="S64" s="185">
        <f>+Q64*R64</f>
        <v>560</v>
      </c>
      <c r="T64" s="185"/>
    </row>
    <row r="65" spans="1:20" x14ac:dyDescent="0.4">
      <c r="A65" s="4" t="s">
        <v>446</v>
      </c>
      <c r="C65" s="4">
        <f>+B50</f>
        <v>125</v>
      </c>
      <c r="D65" s="4">
        <v>2</v>
      </c>
      <c r="E65" s="4">
        <f>+C65*D65</f>
        <v>250</v>
      </c>
      <c r="H65" s="4" t="s">
        <v>786</v>
      </c>
      <c r="K65" s="185" t="s">
        <v>446</v>
      </c>
      <c r="L65" s="185">
        <f>+C65</f>
        <v>125</v>
      </c>
      <c r="M65" s="185">
        <f>+D65</f>
        <v>2</v>
      </c>
      <c r="N65" s="185">
        <f>+E65</f>
        <v>250</v>
      </c>
      <c r="O65" s="185"/>
      <c r="P65" s="185"/>
      <c r="Q65" s="185">
        <v>125</v>
      </c>
      <c r="R65" s="185">
        <v>2</v>
      </c>
      <c r="S65" s="185">
        <f>+Q65*R65</f>
        <v>250</v>
      </c>
      <c r="T65" s="185"/>
    </row>
    <row r="66" spans="1:20" x14ac:dyDescent="0.4">
      <c r="A66" s="4" t="s">
        <v>785</v>
      </c>
      <c r="B66" s="179">
        <f>+B62</f>
        <v>3250</v>
      </c>
      <c r="E66" s="179">
        <f>+SUM(E63:E65)</f>
        <v>3150</v>
      </c>
      <c r="K66" s="185" t="s">
        <v>785</v>
      </c>
      <c r="L66" s="185"/>
      <c r="M66" s="185"/>
      <c r="N66" s="205">
        <f>+E66</f>
        <v>3150</v>
      </c>
      <c r="O66" s="185">
        <f>+N66*M60</f>
        <v>315000</v>
      </c>
      <c r="P66" s="185"/>
      <c r="Q66" s="185"/>
      <c r="R66" s="185"/>
      <c r="S66" s="205">
        <f>+SUM(S63:S65)</f>
        <v>1560</v>
      </c>
      <c r="T66" s="185">
        <f>+S66*M60</f>
        <v>156000</v>
      </c>
    </row>
    <row r="67" spans="1:20" x14ac:dyDescent="0.4">
      <c r="K67" s="185"/>
      <c r="L67" s="185"/>
      <c r="M67" s="185"/>
      <c r="N67" s="185"/>
      <c r="O67" s="205">
        <f>+O62+O66</f>
        <v>497000</v>
      </c>
      <c r="P67" s="185"/>
      <c r="Q67" s="185"/>
      <c r="R67" s="185"/>
      <c r="S67" s="185"/>
      <c r="T67" s="205">
        <f>+T62+T66</f>
        <v>481000</v>
      </c>
    </row>
    <row r="68" spans="1:20" x14ac:dyDescent="0.4">
      <c r="K68" s="185" t="s">
        <v>784</v>
      </c>
      <c r="L68" s="185"/>
      <c r="M68" s="185"/>
      <c r="N68" s="185"/>
      <c r="O68" s="185">
        <v>9000</v>
      </c>
      <c r="P68" s="185"/>
      <c r="Q68" s="185"/>
      <c r="R68" s="185"/>
      <c r="S68" s="185"/>
      <c r="T68" s="185"/>
    </row>
    <row r="69" spans="1:20" ht="16.8" thickBot="1" x14ac:dyDescent="0.45">
      <c r="A69" s="4" t="s">
        <v>459</v>
      </c>
      <c r="B69" s="136">
        <f>+B66*D60</f>
        <v>325000</v>
      </c>
      <c r="E69" s="136">
        <f>+D60*E66</f>
        <v>315000</v>
      </c>
      <c r="K69" s="185" t="s">
        <v>459</v>
      </c>
      <c r="L69" s="185"/>
      <c r="M69" s="185"/>
      <c r="N69" s="185"/>
      <c r="O69" s="204">
        <f>+O67+O68</f>
        <v>506000</v>
      </c>
      <c r="P69" s="185"/>
      <c r="Q69" s="185"/>
      <c r="R69" s="185"/>
      <c r="S69" s="185"/>
      <c r="T69" s="204">
        <f>+T67+T68</f>
        <v>481000</v>
      </c>
    </row>
    <row r="70" spans="1:20" ht="16.8" thickTop="1" x14ac:dyDescent="0.4">
      <c r="K70" s="185"/>
      <c r="L70" s="185"/>
      <c r="M70" s="185"/>
      <c r="N70" s="185"/>
      <c r="O70" s="185"/>
      <c r="P70" s="185"/>
      <c r="Q70" s="185"/>
      <c r="R70" s="185"/>
      <c r="S70" s="185"/>
      <c r="T70" s="185"/>
    </row>
    <row r="71" spans="1:20" x14ac:dyDescent="0.4">
      <c r="D71" s="4" t="s">
        <v>782</v>
      </c>
      <c r="E71" s="82">
        <f>+B69-E69</f>
        <v>10000</v>
      </c>
      <c r="F71" s="4" t="s">
        <v>783</v>
      </c>
      <c r="K71" s="185"/>
      <c r="L71" s="185"/>
      <c r="M71" s="185"/>
      <c r="N71" s="185" t="s">
        <v>782</v>
      </c>
      <c r="O71" s="82">
        <f>+O69-T69</f>
        <v>25000</v>
      </c>
      <c r="P71" s="185" t="s">
        <v>781</v>
      </c>
      <c r="Q71" s="185"/>
      <c r="R71" s="185"/>
      <c r="S71" s="185"/>
      <c r="T71" s="185"/>
    </row>
    <row r="72" spans="1:20" x14ac:dyDescent="0.4">
      <c r="K72" s="185"/>
      <c r="L72" s="185"/>
      <c r="M72" s="185"/>
      <c r="N72" s="185"/>
      <c r="O72" s="185"/>
      <c r="P72" s="185"/>
      <c r="Q72" s="185"/>
      <c r="R72" s="185"/>
      <c r="S72" s="185"/>
      <c r="T72" s="185"/>
    </row>
    <row r="76" spans="1:20" x14ac:dyDescent="0.4">
      <c r="A76" s="13" t="s">
        <v>780</v>
      </c>
      <c r="B76" s="14"/>
      <c r="C76" s="14"/>
      <c r="D76" s="14"/>
      <c r="E76" s="14"/>
      <c r="F76" s="14"/>
      <c r="G76" s="14"/>
      <c r="H76" s="14"/>
      <c r="I76" s="14"/>
      <c r="J76" s="14"/>
      <c r="K76" s="14"/>
      <c r="L76" s="14"/>
      <c r="M76" s="14"/>
      <c r="N76" s="14"/>
      <c r="O76" s="14"/>
      <c r="P76" s="14"/>
      <c r="Q76" s="14"/>
      <c r="R76" s="14"/>
      <c r="S76" s="15"/>
    </row>
    <row r="77" spans="1:20" x14ac:dyDescent="0.4">
      <c r="A77" s="16" t="s">
        <v>779</v>
      </c>
      <c r="B77" s="17"/>
      <c r="C77" s="17"/>
      <c r="D77" s="17"/>
      <c r="E77" s="17"/>
      <c r="F77" s="17"/>
      <c r="G77" s="17"/>
      <c r="H77" s="17"/>
      <c r="I77" s="17"/>
      <c r="J77" s="17"/>
      <c r="K77" s="17"/>
      <c r="L77" s="17"/>
      <c r="M77" s="17"/>
      <c r="N77" s="17"/>
      <c r="O77" s="17"/>
      <c r="P77" s="17"/>
      <c r="Q77" s="17"/>
      <c r="R77" s="17"/>
      <c r="S77" s="18"/>
    </row>
    <row r="78" spans="1:20" x14ac:dyDescent="0.4">
      <c r="A78" s="19" t="s">
        <v>778</v>
      </c>
      <c r="B78" s="20"/>
      <c r="C78" s="20"/>
      <c r="D78" s="20"/>
      <c r="E78" s="20"/>
      <c r="F78" s="20"/>
      <c r="G78" s="20"/>
      <c r="H78" s="20"/>
      <c r="I78" s="20"/>
      <c r="J78" s="46"/>
      <c r="K78" s="20"/>
      <c r="L78" s="20"/>
      <c r="M78" s="20"/>
      <c r="N78" s="20"/>
      <c r="O78" s="20"/>
      <c r="P78" s="20"/>
      <c r="Q78" s="20"/>
      <c r="R78" s="20"/>
      <c r="S78" s="21"/>
    </row>
    <row r="80" spans="1:20" x14ac:dyDescent="0.4">
      <c r="A80" s="4" t="s">
        <v>269</v>
      </c>
    </row>
    <row r="81" spans="1:19" x14ac:dyDescent="0.4">
      <c r="A81" s="4" t="s">
        <v>777</v>
      </c>
    </row>
    <row r="84" spans="1:19" x14ac:dyDescent="0.4">
      <c r="B84" s="4" t="s">
        <v>776</v>
      </c>
      <c r="F84" s="4" t="s">
        <v>775</v>
      </c>
    </row>
    <row r="86" spans="1:19" x14ac:dyDescent="0.4">
      <c r="A86" s="4" t="s">
        <v>341</v>
      </c>
      <c r="B86" s="4" t="s">
        <v>191</v>
      </c>
      <c r="C86" s="4" t="s">
        <v>469</v>
      </c>
      <c r="D86" s="4" t="s">
        <v>774</v>
      </c>
      <c r="F86" s="4" t="s">
        <v>191</v>
      </c>
      <c r="G86" s="4" t="s">
        <v>469</v>
      </c>
      <c r="H86" s="4" t="s">
        <v>774</v>
      </c>
    </row>
    <row r="87" spans="1:19" x14ac:dyDescent="0.4">
      <c r="A87" s="4" t="s">
        <v>400</v>
      </c>
      <c r="B87" s="4">
        <v>80</v>
      </c>
      <c r="C87" s="4">
        <v>500</v>
      </c>
      <c r="D87" s="4">
        <f>+B87*C87</f>
        <v>40000</v>
      </c>
      <c r="F87" s="4">
        <v>110</v>
      </c>
      <c r="G87" s="4">
        <v>500</v>
      </c>
      <c r="H87" s="4">
        <f>+F87*G87</f>
        <v>55000</v>
      </c>
    </row>
    <row r="89" spans="1:19" x14ac:dyDescent="0.4">
      <c r="A89" s="4" t="s">
        <v>401</v>
      </c>
      <c r="H89" s="4">
        <v>20000</v>
      </c>
    </row>
    <row r="90" spans="1:19" ht="16.8" thickBot="1" x14ac:dyDescent="0.45">
      <c r="A90" s="4" t="s">
        <v>773</v>
      </c>
      <c r="D90" s="150">
        <f>+D87</f>
        <v>40000</v>
      </c>
      <c r="H90" s="150">
        <f>+H87-H89</f>
        <v>35000</v>
      </c>
    </row>
    <row r="91" spans="1:19" ht="16.8" thickTop="1" x14ac:dyDescent="0.4"/>
    <row r="93" spans="1:19" x14ac:dyDescent="0.4">
      <c r="C93" s="118" t="s">
        <v>772</v>
      </c>
      <c r="D93" s="82">
        <f>+D90-H90</f>
        <v>5000</v>
      </c>
      <c r="E93" s="4" t="s">
        <v>771</v>
      </c>
    </row>
    <row r="96" spans="1:19" x14ac:dyDescent="0.4">
      <c r="A96" s="13" t="s">
        <v>770</v>
      </c>
      <c r="B96" s="14"/>
      <c r="C96" s="14"/>
      <c r="D96" s="14"/>
      <c r="E96" s="14"/>
      <c r="F96" s="14"/>
      <c r="G96" s="14"/>
      <c r="H96" s="14"/>
      <c r="I96" s="14"/>
      <c r="J96" s="14"/>
      <c r="K96" s="14"/>
      <c r="L96" s="14"/>
      <c r="M96" s="14"/>
      <c r="N96" s="14"/>
      <c r="O96" s="14"/>
      <c r="P96" s="14"/>
      <c r="Q96" s="14"/>
      <c r="R96" s="14"/>
      <c r="S96" s="15"/>
    </row>
    <row r="97" spans="1:19" x14ac:dyDescent="0.4">
      <c r="A97" s="16" t="s">
        <v>769</v>
      </c>
      <c r="B97" s="17"/>
      <c r="C97" s="17"/>
      <c r="D97" s="17"/>
      <c r="E97" s="17"/>
      <c r="F97" s="17"/>
      <c r="G97" s="17"/>
      <c r="H97" s="17"/>
      <c r="I97" s="17"/>
      <c r="J97" s="17"/>
      <c r="K97" s="17"/>
      <c r="L97" s="17"/>
      <c r="M97" s="17"/>
      <c r="N97" s="17"/>
      <c r="O97" s="17"/>
      <c r="P97" s="17"/>
      <c r="Q97" s="17"/>
      <c r="R97" s="17"/>
      <c r="S97" s="18"/>
    </row>
    <row r="98" spans="1:19" x14ac:dyDescent="0.4">
      <c r="A98" s="19" t="s">
        <v>768</v>
      </c>
      <c r="B98" s="20"/>
      <c r="C98" s="20"/>
      <c r="D98" s="20"/>
      <c r="E98" s="20"/>
      <c r="F98" s="20"/>
      <c r="G98" s="20"/>
      <c r="H98" s="20"/>
      <c r="I98" s="20"/>
      <c r="J98" s="46"/>
      <c r="K98" s="20"/>
      <c r="L98" s="20"/>
      <c r="M98" s="20"/>
      <c r="N98" s="20"/>
      <c r="O98" s="20"/>
      <c r="P98" s="20"/>
      <c r="Q98" s="20"/>
      <c r="R98" s="20"/>
      <c r="S98" s="21"/>
    </row>
    <row r="100" spans="1:19" x14ac:dyDescent="0.4">
      <c r="A100" s="4" t="s">
        <v>767</v>
      </c>
    </row>
    <row r="101" spans="1:19" x14ac:dyDescent="0.4">
      <c r="B101" s="4" t="s">
        <v>366</v>
      </c>
      <c r="C101" s="4" t="s">
        <v>656</v>
      </c>
      <c r="D101" s="4" t="s">
        <v>535</v>
      </c>
    </row>
    <row r="102" spans="1:19" x14ac:dyDescent="0.4">
      <c r="A102" s="4" t="s">
        <v>400</v>
      </c>
      <c r="B102" s="4">
        <v>5000</v>
      </c>
      <c r="C102" s="4">
        <v>2000</v>
      </c>
      <c r="D102" s="4">
        <v>3000</v>
      </c>
      <c r="E102" s="4">
        <f>+SUM(B102:D102)</f>
        <v>10000</v>
      </c>
    </row>
    <row r="103" spans="1:19" x14ac:dyDescent="0.4">
      <c r="A103" s="4" t="s">
        <v>534</v>
      </c>
      <c r="B103" s="4">
        <v>2000</v>
      </c>
      <c r="C103" s="4">
        <v>1200</v>
      </c>
      <c r="D103" s="4">
        <v>1000</v>
      </c>
      <c r="E103" s="4">
        <f>+SUM(B103:D103)</f>
        <v>4200</v>
      </c>
    </row>
    <row r="104" spans="1:19" x14ac:dyDescent="0.4">
      <c r="A104" s="4" t="s">
        <v>533</v>
      </c>
      <c r="B104" s="175">
        <f>+B102-B103</f>
        <v>3000</v>
      </c>
      <c r="C104" s="175">
        <f>+C102-C103</f>
        <v>800</v>
      </c>
      <c r="D104" s="175">
        <f>+D102-D103</f>
        <v>2000</v>
      </c>
      <c r="E104" s="175">
        <f>+E102-E103</f>
        <v>5800</v>
      </c>
    </row>
    <row r="105" spans="1:19" x14ac:dyDescent="0.4">
      <c r="A105" s="4" t="s">
        <v>766</v>
      </c>
    </row>
    <row r="106" spans="1:19" x14ac:dyDescent="0.4">
      <c r="A106" s="118" t="s">
        <v>765</v>
      </c>
      <c r="B106" s="4">
        <v>40</v>
      </c>
      <c r="C106" s="4">
        <v>260</v>
      </c>
      <c r="D106" s="4">
        <v>300</v>
      </c>
      <c r="E106" s="4">
        <f>+SUM(B106:D106)</f>
        <v>600</v>
      </c>
    </row>
    <row r="107" spans="1:19" x14ac:dyDescent="0.4">
      <c r="A107" s="118" t="s">
        <v>764</v>
      </c>
      <c r="B107" s="4">
        <v>80</v>
      </c>
      <c r="C107" s="4">
        <v>20</v>
      </c>
      <c r="D107" s="4">
        <v>20</v>
      </c>
      <c r="E107" s="4">
        <f>+SUM(B107:D107)</f>
        <v>120</v>
      </c>
    </row>
    <row r="108" spans="1:19" ht="16.8" thickBot="1" x14ac:dyDescent="0.45">
      <c r="A108" s="4" t="s">
        <v>763</v>
      </c>
      <c r="B108" s="182">
        <f>+B104-SUM(B106:B107)</f>
        <v>2880</v>
      </c>
      <c r="C108" s="172">
        <f>+C104-SUM(C106:C107)</f>
        <v>520</v>
      </c>
      <c r="D108" s="182">
        <f>+D104-SUM(D106:D107)</f>
        <v>1680</v>
      </c>
      <c r="E108" s="175">
        <f>+SUM(B108:D108)</f>
        <v>5080</v>
      </c>
    </row>
    <row r="109" spans="1:19" ht="16.8" thickTop="1" x14ac:dyDescent="0.4">
      <c r="A109" s="4" t="s">
        <v>762</v>
      </c>
    </row>
    <row r="110" spans="1:19" x14ac:dyDescent="0.4">
      <c r="A110" s="4" t="s">
        <v>761</v>
      </c>
      <c r="B110" s="185"/>
      <c r="C110" s="185"/>
      <c r="D110" s="185"/>
      <c r="E110" s="4">
        <v>2150</v>
      </c>
    </row>
    <row r="111" spans="1:19" x14ac:dyDescent="0.4">
      <c r="A111" s="4" t="s">
        <v>37</v>
      </c>
      <c r="B111" s="185" t="s">
        <v>760</v>
      </c>
      <c r="C111" s="185"/>
      <c r="D111" s="185"/>
      <c r="E111" s="4">
        <v>225</v>
      </c>
    </row>
    <row r="112" spans="1:19" x14ac:dyDescent="0.4">
      <c r="A112" s="4" t="s">
        <v>759</v>
      </c>
      <c r="B112" s="185"/>
      <c r="C112" s="185"/>
      <c r="D112" s="185"/>
      <c r="E112" s="4">
        <v>1905</v>
      </c>
    </row>
    <row r="113" spans="1:19" x14ac:dyDescent="0.4">
      <c r="A113" s="4" t="s">
        <v>393</v>
      </c>
      <c r="E113" s="175">
        <f>+E108-SUM(E110:E112)</f>
        <v>800</v>
      </c>
    </row>
    <row r="114" spans="1:19" x14ac:dyDescent="0.4">
      <c r="C114" s="4" t="s">
        <v>758</v>
      </c>
    </row>
    <row r="115" spans="1:19" x14ac:dyDescent="0.4">
      <c r="C115" s="4" t="s">
        <v>757</v>
      </c>
    </row>
    <row r="117" spans="1:19" x14ac:dyDescent="0.4">
      <c r="A117" s="13" t="s">
        <v>756</v>
      </c>
      <c r="B117" s="14"/>
      <c r="C117" s="14"/>
      <c r="D117" s="14"/>
      <c r="E117" s="14"/>
      <c r="F117" s="14"/>
      <c r="G117" s="14"/>
      <c r="H117" s="14"/>
      <c r="I117" s="14"/>
      <c r="J117" s="14"/>
      <c r="K117" s="14"/>
      <c r="L117" s="14"/>
      <c r="M117" s="14"/>
      <c r="N117" s="14"/>
      <c r="O117" s="14"/>
      <c r="P117" s="14"/>
      <c r="Q117" s="14"/>
      <c r="R117" s="14"/>
      <c r="S117" s="15"/>
    </row>
    <row r="118" spans="1:19" x14ac:dyDescent="0.4">
      <c r="A118" s="16" t="s">
        <v>755</v>
      </c>
      <c r="B118" s="17"/>
      <c r="C118" s="17"/>
      <c r="D118" s="17"/>
      <c r="E118" s="17"/>
      <c r="F118" s="17"/>
      <c r="G118" s="17"/>
      <c r="H118" s="17"/>
      <c r="I118" s="17"/>
      <c r="J118" s="17"/>
      <c r="K118" s="17"/>
      <c r="L118" s="17"/>
      <c r="M118" s="17"/>
      <c r="N118" s="17"/>
      <c r="O118" s="17"/>
      <c r="P118" s="17"/>
      <c r="Q118" s="17"/>
      <c r="R118" s="17"/>
      <c r="S118" s="18"/>
    </row>
    <row r="119" spans="1:19" x14ac:dyDescent="0.4">
      <c r="A119" s="19" t="s">
        <v>754</v>
      </c>
      <c r="B119" s="20"/>
      <c r="C119" s="20"/>
      <c r="D119" s="20"/>
      <c r="E119" s="20"/>
      <c r="F119" s="20"/>
      <c r="G119" s="20"/>
      <c r="H119" s="20"/>
      <c r="I119" s="20"/>
      <c r="J119" s="46"/>
      <c r="K119" s="20"/>
      <c r="L119" s="20"/>
      <c r="M119" s="20"/>
      <c r="N119" s="20"/>
      <c r="O119" s="20"/>
      <c r="P119" s="20"/>
      <c r="Q119" s="20"/>
      <c r="R119" s="20"/>
      <c r="S119" s="21"/>
    </row>
    <row r="121" spans="1:19" x14ac:dyDescent="0.4">
      <c r="A121" s="4" t="s">
        <v>753</v>
      </c>
      <c r="D121" s="4">
        <v>1000</v>
      </c>
      <c r="E121" s="4" t="s">
        <v>497</v>
      </c>
      <c r="H121" s="4" t="s">
        <v>752</v>
      </c>
    </row>
    <row r="122" spans="1:19" x14ac:dyDescent="0.4">
      <c r="A122" s="4" t="s">
        <v>751</v>
      </c>
      <c r="D122" s="4">
        <v>800</v>
      </c>
    </row>
    <row r="123" spans="1:19" x14ac:dyDescent="0.4">
      <c r="A123" s="4" t="s">
        <v>750</v>
      </c>
      <c r="D123" s="4">
        <v>1360</v>
      </c>
      <c r="E123" s="4" t="s">
        <v>747</v>
      </c>
      <c r="H123" s="4" t="s">
        <v>749</v>
      </c>
    </row>
    <row r="124" spans="1:19" x14ac:dyDescent="0.4">
      <c r="A124" s="4" t="s">
        <v>748</v>
      </c>
      <c r="D124" s="4">
        <v>4400</v>
      </c>
      <c r="E124" s="4" t="s">
        <v>747</v>
      </c>
      <c r="I124" s="4">
        <f>+D123+D124</f>
        <v>5760</v>
      </c>
      <c r="J124" s="4" t="s">
        <v>746</v>
      </c>
    </row>
    <row r="125" spans="1:19" x14ac:dyDescent="0.4">
      <c r="A125" s="4" t="s">
        <v>745</v>
      </c>
      <c r="D125" s="4">
        <v>600000</v>
      </c>
      <c r="E125" s="4" t="s">
        <v>743</v>
      </c>
    </row>
    <row r="126" spans="1:19" x14ac:dyDescent="0.4">
      <c r="A126" s="4" t="s">
        <v>744</v>
      </c>
      <c r="D126" s="4">
        <v>300000</v>
      </c>
      <c r="E126" s="4" t="s">
        <v>743</v>
      </c>
    </row>
    <row r="127" spans="1:19" x14ac:dyDescent="0.4">
      <c r="A127" s="4" t="s">
        <v>742</v>
      </c>
      <c r="D127" s="4">
        <v>120</v>
      </c>
      <c r="E127" s="4" t="s">
        <v>741</v>
      </c>
      <c r="H127" s="4" t="s">
        <v>740</v>
      </c>
    </row>
    <row r="128" spans="1:19" x14ac:dyDescent="0.4">
      <c r="A128" s="4" t="s">
        <v>739</v>
      </c>
      <c r="D128" s="4">
        <f>+D122*0.1</f>
        <v>80</v>
      </c>
      <c r="E128" s="4" t="s">
        <v>738</v>
      </c>
      <c r="I128" s="4">
        <v>200</v>
      </c>
      <c r="J128" s="4" t="s">
        <v>737</v>
      </c>
    </row>
    <row r="130" spans="1:11" x14ac:dyDescent="0.4">
      <c r="A130" s="4" t="s">
        <v>736</v>
      </c>
      <c r="H130" s="4" t="s">
        <v>735</v>
      </c>
      <c r="I130" s="118" t="s">
        <v>734</v>
      </c>
      <c r="J130" s="47">
        <f>+SQRT(I124*D121/I128*2)</f>
        <v>240</v>
      </c>
      <c r="K130" s="4" t="s">
        <v>497</v>
      </c>
    </row>
    <row r="131" spans="1:11" x14ac:dyDescent="0.4">
      <c r="A131" s="4" t="s">
        <v>733</v>
      </c>
      <c r="D131" s="4" t="s">
        <v>732</v>
      </c>
      <c r="E131" s="4" t="s">
        <v>731</v>
      </c>
    </row>
    <row r="133" spans="1:11" x14ac:dyDescent="0.4">
      <c r="G133" s="183" t="s">
        <v>730</v>
      </c>
    </row>
    <row r="134" spans="1:11" x14ac:dyDescent="0.4">
      <c r="G134" s="183" t="s">
        <v>729</v>
      </c>
    </row>
  </sheetData>
  <phoneticPr fontId="3"/>
  <pageMargins left="0.25" right="0.25" top="0.75" bottom="0.75" header="0.3" footer="0.3"/>
  <pageSetup paperSize="9" scale="62" fitToHeight="0" orientation="landscape" r:id="rId1"/>
  <rowBreaks count="2" manualBreakCount="2">
    <brk id="39" max="16383" man="1"/>
    <brk id="95"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3"/>
  <sheetViews>
    <sheetView zoomScale="90" zoomScaleNormal="90" workbookViewId="0">
      <selection activeCell="I27" sqref="I27"/>
    </sheetView>
  </sheetViews>
  <sheetFormatPr defaultColWidth="12" defaultRowHeight="16.2" x14ac:dyDescent="0.4"/>
  <cols>
    <col min="1" max="1" width="12.109375" style="4" customWidth="1"/>
    <col min="2" max="5" width="13.109375" style="4" customWidth="1"/>
    <col min="6" max="7" width="12.6640625" style="4" customWidth="1"/>
    <col min="8" max="10" width="13.109375" style="4" customWidth="1"/>
    <col min="11" max="11" width="12" style="4"/>
    <col min="12" max="12" width="11.88671875" style="4" customWidth="1"/>
    <col min="13" max="16384" width="12" style="4"/>
  </cols>
  <sheetData>
    <row r="1" spans="1:21" x14ac:dyDescent="0.4">
      <c r="A1" s="1" t="s">
        <v>302</v>
      </c>
      <c r="B1" s="2"/>
      <c r="C1" s="2"/>
      <c r="D1" s="2"/>
      <c r="E1" s="2"/>
      <c r="F1" s="2"/>
      <c r="G1" s="2"/>
      <c r="H1" s="2"/>
      <c r="I1" s="2"/>
      <c r="J1" s="2"/>
      <c r="K1" s="2"/>
      <c r="L1" s="2"/>
      <c r="M1" s="2"/>
      <c r="N1" s="2"/>
      <c r="O1" s="2"/>
      <c r="P1" s="2"/>
      <c r="Q1" s="3"/>
    </row>
    <row r="2" spans="1:21" x14ac:dyDescent="0.4">
      <c r="A2" s="5" t="s">
        <v>629</v>
      </c>
      <c r="B2" s="6"/>
      <c r="C2" s="6"/>
      <c r="D2" s="6"/>
      <c r="E2" s="6"/>
      <c r="F2" s="6"/>
      <c r="G2" s="6"/>
      <c r="H2" s="6"/>
      <c r="I2" s="6"/>
      <c r="J2" s="6"/>
      <c r="K2" s="6"/>
      <c r="L2" s="6"/>
      <c r="M2" s="6"/>
      <c r="N2" s="6"/>
      <c r="O2" s="6"/>
      <c r="P2" s="6"/>
      <c r="Q2" s="7"/>
    </row>
    <row r="3" spans="1:21" x14ac:dyDescent="0.4">
      <c r="A3" s="8" t="s">
        <v>630</v>
      </c>
      <c r="B3" s="9"/>
      <c r="C3" s="9"/>
      <c r="D3" s="9"/>
      <c r="E3" s="9"/>
      <c r="F3" s="9"/>
      <c r="G3" s="9"/>
      <c r="H3" s="9"/>
      <c r="I3" s="9"/>
      <c r="J3" s="9"/>
      <c r="K3" s="9"/>
      <c r="L3" s="9"/>
      <c r="M3" s="9"/>
      <c r="N3" s="9"/>
      <c r="O3" s="9"/>
      <c r="P3" s="9"/>
      <c r="Q3" s="10"/>
    </row>
    <row r="4" spans="1:21" s="12" customFormat="1" x14ac:dyDescent="0.4">
      <c r="A4" s="11"/>
      <c r="B4" s="11"/>
      <c r="C4" s="11"/>
      <c r="D4" s="11"/>
      <c r="E4" s="11"/>
      <c r="F4" s="11"/>
      <c r="G4" s="11"/>
      <c r="H4" s="11"/>
      <c r="I4" s="11"/>
      <c r="J4" s="11"/>
      <c r="K4" s="11"/>
      <c r="L4" s="11"/>
      <c r="M4" s="11"/>
      <c r="N4" s="11"/>
      <c r="O4" s="11"/>
      <c r="P4" s="11"/>
      <c r="Q4" s="11"/>
    </row>
    <row r="5" spans="1:21" ht="18" customHeight="1" x14ac:dyDescent="0.4">
      <c r="A5" s="13" t="s">
        <v>0</v>
      </c>
      <c r="B5" s="14"/>
      <c r="C5" s="14"/>
      <c r="D5" s="14"/>
      <c r="E5" s="14"/>
      <c r="F5" s="14"/>
      <c r="G5" s="14"/>
      <c r="H5" s="14"/>
      <c r="I5" s="14"/>
      <c r="J5" s="14"/>
      <c r="K5" s="14"/>
      <c r="L5" s="14"/>
      <c r="M5" s="14"/>
      <c r="N5" s="14"/>
      <c r="O5" s="14"/>
      <c r="P5" s="14"/>
      <c r="Q5" s="14"/>
      <c r="R5" s="15"/>
    </row>
    <row r="6" spans="1:21" x14ac:dyDescent="0.4">
      <c r="A6" s="16" t="s">
        <v>631</v>
      </c>
      <c r="B6" s="17"/>
      <c r="C6" s="17"/>
      <c r="D6" s="17"/>
      <c r="E6" s="17"/>
      <c r="F6" s="17"/>
      <c r="G6" s="17"/>
      <c r="H6" s="17"/>
      <c r="I6" s="17"/>
      <c r="J6" s="17"/>
      <c r="K6" s="17"/>
      <c r="L6" s="17"/>
      <c r="M6" s="17"/>
      <c r="N6" s="17"/>
      <c r="O6" s="17"/>
      <c r="P6" s="17"/>
      <c r="Q6" s="17"/>
      <c r="R6" s="18"/>
    </row>
    <row r="7" spans="1:21" x14ac:dyDescent="0.4">
      <c r="A7" s="19" t="s">
        <v>632</v>
      </c>
      <c r="B7" s="20"/>
      <c r="C7" s="20"/>
      <c r="D7" s="20"/>
      <c r="E7" s="20"/>
      <c r="F7" s="20"/>
      <c r="G7" s="20"/>
      <c r="H7" s="20"/>
      <c r="I7" s="46"/>
      <c r="J7" s="20"/>
      <c r="K7" s="20"/>
      <c r="L7" s="20"/>
      <c r="M7" s="20"/>
      <c r="N7" s="20"/>
      <c r="O7" s="20"/>
      <c r="P7" s="20"/>
      <c r="Q7" s="20"/>
      <c r="R7" s="21"/>
    </row>
    <row r="8" spans="1:21" s="12" customFormat="1" ht="17.25" customHeight="1" x14ac:dyDescent="0.4">
      <c r="D8" s="22"/>
      <c r="E8" s="22"/>
      <c r="F8" s="22"/>
      <c r="G8" s="22"/>
      <c r="H8" s="22"/>
      <c r="I8" s="22"/>
      <c r="J8" s="22"/>
      <c r="K8" s="22"/>
      <c r="L8" s="22"/>
      <c r="M8" s="22"/>
      <c r="N8" s="22"/>
      <c r="O8" s="22"/>
      <c r="P8" s="22"/>
      <c r="Q8" s="22"/>
      <c r="R8" s="22"/>
      <c r="S8" s="22"/>
      <c r="T8" s="22"/>
      <c r="U8" s="22"/>
    </row>
    <row r="9" spans="1:21" x14ac:dyDescent="0.4">
      <c r="A9" s="4" t="s">
        <v>633</v>
      </c>
    </row>
    <row r="10" spans="1:21" x14ac:dyDescent="0.4">
      <c r="A10" s="4" t="s">
        <v>635</v>
      </c>
    </row>
    <row r="12" spans="1:21" x14ac:dyDescent="0.4">
      <c r="C12" s="183" t="s">
        <v>651</v>
      </c>
      <c r="D12" s="4" t="s">
        <v>645</v>
      </c>
      <c r="E12" s="4" t="s">
        <v>646</v>
      </c>
    </row>
    <row r="13" spans="1:21" x14ac:dyDescent="0.4">
      <c r="B13" s="4" t="s">
        <v>634</v>
      </c>
      <c r="C13" s="136" t="s">
        <v>648</v>
      </c>
      <c r="D13" s="4">
        <v>100</v>
      </c>
      <c r="E13" s="4">
        <v>180</v>
      </c>
    </row>
    <row r="14" spans="1:21" x14ac:dyDescent="0.4">
      <c r="B14" s="4" t="s">
        <v>636</v>
      </c>
      <c r="C14" s="136" t="s">
        <v>648</v>
      </c>
      <c r="D14" s="4">
        <v>300</v>
      </c>
      <c r="E14" s="4">
        <v>520</v>
      </c>
    </row>
    <row r="15" spans="1:21" x14ac:dyDescent="0.4">
      <c r="B15" s="4" t="s">
        <v>637</v>
      </c>
      <c r="C15" s="136" t="s">
        <v>649</v>
      </c>
      <c r="D15" s="4">
        <v>1600</v>
      </c>
      <c r="E15" s="4">
        <v>500</v>
      </c>
    </row>
    <row r="16" spans="1:21" x14ac:dyDescent="0.4">
      <c r="B16" s="4" t="s">
        <v>638</v>
      </c>
      <c r="C16" s="136" t="s">
        <v>649</v>
      </c>
      <c r="D16" s="4">
        <v>3060</v>
      </c>
      <c r="E16" s="4">
        <v>640</v>
      </c>
    </row>
    <row r="17" spans="2:6" x14ac:dyDescent="0.4">
      <c r="B17" s="4" t="s">
        <v>639</v>
      </c>
      <c r="C17" s="136" t="s">
        <v>650</v>
      </c>
      <c r="D17" s="4">
        <v>3200</v>
      </c>
      <c r="E17" s="4">
        <v>600</v>
      </c>
    </row>
    <row r="18" spans="2:6" x14ac:dyDescent="0.4">
      <c r="B18" s="4" t="s">
        <v>640</v>
      </c>
      <c r="C18" s="136" t="s">
        <v>647</v>
      </c>
      <c r="D18" s="4">
        <v>600</v>
      </c>
      <c r="E18" s="4">
        <v>1400</v>
      </c>
    </row>
    <row r="19" spans="2:6" x14ac:dyDescent="0.4">
      <c r="B19" s="4" t="s">
        <v>641</v>
      </c>
      <c r="C19" s="136" t="s">
        <v>648</v>
      </c>
      <c r="D19" s="4">
        <v>1160</v>
      </c>
      <c r="E19" s="4">
        <v>1880</v>
      </c>
    </row>
    <row r="20" spans="2:6" x14ac:dyDescent="0.4">
      <c r="B20" s="4" t="s">
        <v>642</v>
      </c>
      <c r="C20" s="136" t="s">
        <v>647</v>
      </c>
      <c r="D20" s="4">
        <v>200</v>
      </c>
      <c r="E20" s="4">
        <v>500</v>
      </c>
    </row>
    <row r="21" spans="2:6" x14ac:dyDescent="0.4">
      <c r="B21" s="4" t="s">
        <v>643</v>
      </c>
      <c r="C21" s="136" t="s">
        <v>650</v>
      </c>
      <c r="D21" s="4">
        <v>1100</v>
      </c>
      <c r="E21" s="4">
        <v>300</v>
      </c>
    </row>
    <row r="22" spans="2:6" x14ac:dyDescent="0.4">
      <c r="B22" s="4" t="s">
        <v>644</v>
      </c>
      <c r="C22" s="136" t="s">
        <v>648</v>
      </c>
      <c r="D22" s="4">
        <v>640</v>
      </c>
      <c r="E22" s="4">
        <v>1440</v>
      </c>
    </row>
    <row r="23" spans="2:6" ht="16.8" thickBot="1" x14ac:dyDescent="0.45">
      <c r="D23" s="182">
        <f>+SUM(D13:D22)</f>
        <v>11960</v>
      </c>
      <c r="E23" s="182">
        <f>+SUM(E13:E22)</f>
        <v>7960</v>
      </c>
    </row>
    <row r="24" spans="2:6" ht="16.8" thickTop="1" x14ac:dyDescent="0.4"/>
    <row r="26" spans="2:6" x14ac:dyDescent="0.4">
      <c r="F26" s="4" t="s">
        <v>653</v>
      </c>
    </row>
    <row r="27" spans="2:6" x14ac:dyDescent="0.4">
      <c r="C27" s="4" t="s">
        <v>647</v>
      </c>
      <c r="D27" s="4">
        <f>+SUMIF($C$13:$C$22,$C27,D$13:D$22)</f>
        <v>800</v>
      </c>
      <c r="E27" s="4">
        <f>+SUMIF($C$13:$C$22,$C27,E$13:E$22)</f>
        <v>1900</v>
      </c>
    </row>
    <row r="28" spans="2:6" x14ac:dyDescent="0.4">
      <c r="C28" s="4" t="s">
        <v>648</v>
      </c>
      <c r="D28" s="4">
        <f t="shared" ref="D28:E32" si="0">+SUMIF($C$13:$C$22,$C28,D$13:D$22)</f>
        <v>2200</v>
      </c>
      <c r="E28" s="4">
        <f t="shared" si="0"/>
        <v>4020</v>
      </c>
    </row>
    <row r="29" spans="2:6" x14ac:dyDescent="0.4">
      <c r="C29" s="4" t="s">
        <v>652</v>
      </c>
      <c r="D29" s="175">
        <f>+SUM(D27:D28)</f>
        <v>3000</v>
      </c>
      <c r="E29" s="175">
        <f>+SUM(E27:E28)</f>
        <v>5920</v>
      </c>
      <c r="F29" s="82">
        <f>+E29-D29</f>
        <v>2920</v>
      </c>
    </row>
    <row r="31" spans="2:6" x14ac:dyDescent="0.4">
      <c r="C31" s="4" t="s">
        <v>649</v>
      </c>
      <c r="D31" s="4">
        <f t="shared" si="0"/>
        <v>4660</v>
      </c>
      <c r="E31" s="4">
        <f t="shared" si="0"/>
        <v>1140</v>
      </c>
    </row>
    <row r="32" spans="2:6" x14ac:dyDescent="0.4">
      <c r="C32" s="4" t="s">
        <v>650</v>
      </c>
      <c r="D32" s="4">
        <f t="shared" si="0"/>
        <v>4300</v>
      </c>
      <c r="E32" s="4">
        <f t="shared" si="0"/>
        <v>900</v>
      </c>
    </row>
    <row r="33" spans="3:6" x14ac:dyDescent="0.4">
      <c r="C33" s="4" t="s">
        <v>652</v>
      </c>
      <c r="D33" s="175">
        <f>+SUM(D31:D32)</f>
        <v>8960</v>
      </c>
      <c r="E33" s="175">
        <f>+SUM(E31:E32)</f>
        <v>2040</v>
      </c>
      <c r="F33" s="82">
        <f>+E33-D33</f>
        <v>-6920</v>
      </c>
    </row>
  </sheetData>
  <phoneticPr fontId="3"/>
  <pageMargins left="0.25" right="0.25" top="0.75" bottom="0.75" header="0.3" footer="0.3"/>
  <pageSetup paperSize="9" scale="65" orientation="landscape"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72"/>
  <sheetViews>
    <sheetView zoomScale="90" zoomScaleNormal="90" workbookViewId="0">
      <selection activeCell="G26" sqref="G26"/>
    </sheetView>
  </sheetViews>
  <sheetFormatPr defaultColWidth="12" defaultRowHeight="16.2" x14ac:dyDescent="0.4"/>
  <cols>
    <col min="1" max="1" width="12.109375" style="4" customWidth="1"/>
    <col min="2" max="5" width="13.109375" style="4" customWidth="1"/>
    <col min="6" max="7" width="12.6640625" style="4" customWidth="1"/>
    <col min="8" max="10" width="13.109375" style="4" customWidth="1"/>
    <col min="11" max="11" width="12" style="4"/>
    <col min="12" max="12" width="11.88671875" style="4" customWidth="1"/>
    <col min="13" max="16384" width="12" style="4"/>
  </cols>
  <sheetData>
    <row r="1" spans="1:21" x14ac:dyDescent="0.4">
      <c r="A1" s="1" t="s">
        <v>302</v>
      </c>
      <c r="B1" s="2"/>
      <c r="C1" s="2"/>
      <c r="D1" s="2"/>
      <c r="E1" s="2"/>
      <c r="F1" s="2"/>
      <c r="G1" s="2"/>
      <c r="H1" s="2"/>
      <c r="I1" s="2"/>
      <c r="J1" s="2"/>
      <c r="K1" s="2"/>
      <c r="L1" s="2"/>
      <c r="M1" s="2"/>
      <c r="N1" s="2"/>
      <c r="O1" s="2"/>
      <c r="P1" s="2"/>
      <c r="Q1" s="3"/>
    </row>
    <row r="2" spans="1:21" x14ac:dyDescent="0.4">
      <c r="A2" s="5" t="s">
        <v>629</v>
      </c>
      <c r="B2" s="6"/>
      <c r="C2" s="6"/>
      <c r="D2" s="6"/>
      <c r="E2" s="6"/>
      <c r="F2" s="6"/>
      <c r="G2" s="6"/>
      <c r="H2" s="6"/>
      <c r="I2" s="6"/>
      <c r="J2" s="6"/>
      <c r="K2" s="6"/>
      <c r="L2" s="6"/>
      <c r="M2" s="6"/>
      <c r="N2" s="6"/>
      <c r="O2" s="6"/>
      <c r="P2" s="6"/>
      <c r="Q2" s="7"/>
    </row>
    <row r="3" spans="1:21" x14ac:dyDescent="0.4">
      <c r="A3" s="8" t="s">
        <v>630</v>
      </c>
      <c r="B3" s="9"/>
      <c r="C3" s="9"/>
      <c r="D3" s="9"/>
      <c r="E3" s="9"/>
      <c r="F3" s="9"/>
      <c r="G3" s="9"/>
      <c r="H3" s="9"/>
      <c r="I3" s="9"/>
      <c r="J3" s="9"/>
      <c r="K3" s="9"/>
      <c r="L3" s="9"/>
      <c r="M3" s="9"/>
      <c r="N3" s="9"/>
      <c r="O3" s="9"/>
      <c r="P3" s="9"/>
      <c r="Q3" s="10"/>
    </row>
    <row r="4" spans="1:21" s="12" customFormat="1" x14ac:dyDescent="0.4">
      <c r="A4" s="11"/>
      <c r="B4" s="11"/>
      <c r="C4" s="11"/>
      <c r="D4" s="11"/>
      <c r="E4" s="11"/>
      <c r="F4" s="11"/>
      <c r="G4" s="11"/>
      <c r="H4" s="11"/>
      <c r="I4" s="11"/>
      <c r="J4" s="11"/>
      <c r="K4" s="11"/>
      <c r="L4" s="11"/>
      <c r="M4" s="11"/>
      <c r="N4" s="11"/>
      <c r="O4" s="11"/>
      <c r="P4" s="11"/>
      <c r="Q4" s="11"/>
    </row>
    <row r="5" spans="1:21" ht="18" customHeight="1" x14ac:dyDescent="0.4">
      <c r="A5" s="13" t="s">
        <v>0</v>
      </c>
      <c r="B5" s="14"/>
      <c r="C5" s="14"/>
      <c r="D5" s="14"/>
      <c r="E5" s="14"/>
      <c r="F5" s="14"/>
      <c r="G5" s="14"/>
      <c r="H5" s="14"/>
      <c r="I5" s="14"/>
      <c r="J5" s="14"/>
      <c r="K5" s="14"/>
      <c r="L5" s="14"/>
      <c r="M5" s="14"/>
      <c r="N5" s="14"/>
      <c r="O5" s="14"/>
      <c r="P5" s="14"/>
      <c r="Q5" s="14"/>
      <c r="R5" s="15"/>
    </row>
    <row r="6" spans="1:21" x14ac:dyDescent="0.4">
      <c r="A6" s="16" t="s">
        <v>654</v>
      </c>
      <c r="B6" s="17"/>
      <c r="C6" s="17"/>
      <c r="D6" s="17"/>
      <c r="E6" s="17"/>
      <c r="F6" s="17"/>
      <c r="G6" s="17"/>
      <c r="H6" s="17"/>
      <c r="I6" s="17"/>
      <c r="J6" s="17"/>
      <c r="K6" s="17"/>
      <c r="L6" s="17"/>
      <c r="M6" s="17"/>
      <c r="N6" s="17"/>
      <c r="O6" s="17"/>
      <c r="P6" s="17"/>
      <c r="Q6" s="17"/>
      <c r="R6" s="18"/>
    </row>
    <row r="7" spans="1:21" x14ac:dyDescent="0.4">
      <c r="A7" s="19" t="s">
        <v>655</v>
      </c>
      <c r="B7" s="20"/>
      <c r="C7" s="20"/>
      <c r="D7" s="20"/>
      <c r="E7" s="20"/>
      <c r="F7" s="20"/>
      <c r="G7" s="20"/>
      <c r="H7" s="20"/>
      <c r="I7" s="46"/>
      <c r="J7" s="20"/>
      <c r="K7" s="20"/>
      <c r="L7" s="20"/>
      <c r="M7" s="20"/>
      <c r="N7" s="20"/>
      <c r="O7" s="20"/>
      <c r="P7" s="20"/>
      <c r="Q7" s="20"/>
      <c r="R7" s="21"/>
    </row>
    <row r="8" spans="1:21" s="12" customFormat="1" ht="17.25" customHeight="1" x14ac:dyDescent="0.4">
      <c r="D8" s="22"/>
      <c r="E8" s="22"/>
      <c r="F8" s="22"/>
      <c r="G8" s="22"/>
      <c r="H8" s="22"/>
      <c r="I8" s="22"/>
      <c r="J8" s="22"/>
      <c r="K8" s="22"/>
      <c r="L8" s="22"/>
      <c r="M8" s="22"/>
      <c r="N8" s="22"/>
      <c r="O8" s="22"/>
      <c r="P8" s="22"/>
      <c r="Q8" s="22"/>
      <c r="R8" s="22"/>
      <c r="S8" s="22"/>
      <c r="T8" s="22"/>
      <c r="U8" s="22"/>
    </row>
    <row r="9" spans="1:21" x14ac:dyDescent="0.4">
      <c r="A9" s="4" t="s">
        <v>660</v>
      </c>
    </row>
    <row r="11" spans="1:21" x14ac:dyDescent="0.4">
      <c r="D11" s="4" t="s">
        <v>366</v>
      </c>
      <c r="E11" s="4" t="s">
        <v>656</v>
      </c>
      <c r="F11" s="4" t="s">
        <v>535</v>
      </c>
    </row>
    <row r="12" spans="1:21" x14ac:dyDescent="0.4">
      <c r="B12" s="4" t="s">
        <v>362</v>
      </c>
      <c r="D12" s="4">
        <v>16000</v>
      </c>
      <c r="E12" s="4">
        <v>8000</v>
      </c>
      <c r="F12" s="4">
        <v>9800</v>
      </c>
    </row>
    <row r="13" spans="1:21" x14ac:dyDescent="0.4">
      <c r="B13" s="4" t="s">
        <v>659</v>
      </c>
      <c r="D13" s="4">
        <v>6</v>
      </c>
      <c r="E13" s="4">
        <v>4</v>
      </c>
      <c r="F13" s="4">
        <v>1</v>
      </c>
    </row>
    <row r="14" spans="1:21" x14ac:dyDescent="0.4">
      <c r="B14" s="4" t="s">
        <v>661</v>
      </c>
      <c r="D14" s="251">
        <f>+D12*D13+E12*E13+F12*F13</f>
        <v>137800</v>
      </c>
      <c r="E14" s="251"/>
      <c r="F14" s="251"/>
      <c r="H14" s="4" t="s">
        <v>664</v>
      </c>
    </row>
    <row r="15" spans="1:21" x14ac:dyDescent="0.4">
      <c r="B15" s="4" t="s">
        <v>662</v>
      </c>
      <c r="D15" s="251">
        <f>+H15/D14</f>
        <v>400</v>
      </c>
      <c r="E15" s="251"/>
      <c r="F15" s="251"/>
      <c r="H15" s="4">
        <v>55120000</v>
      </c>
    </row>
    <row r="16" spans="1:21" x14ac:dyDescent="0.4">
      <c r="B16" s="4" t="s">
        <v>663</v>
      </c>
      <c r="D16" s="82">
        <f>+D13*$D$15</f>
        <v>2400</v>
      </c>
      <c r="E16" s="82">
        <f t="shared" ref="E16:F16" si="0">+E13*$D$15</f>
        <v>1600</v>
      </c>
      <c r="F16" s="82">
        <f t="shared" si="0"/>
        <v>400</v>
      </c>
    </row>
    <row r="19" spans="1:7" x14ac:dyDescent="0.4">
      <c r="A19" s="4" t="s">
        <v>706</v>
      </c>
    </row>
    <row r="21" spans="1:7" x14ac:dyDescent="0.4">
      <c r="B21" s="4" t="s">
        <v>665</v>
      </c>
    </row>
    <row r="23" spans="1:7" x14ac:dyDescent="0.4">
      <c r="B23" s="4" t="s">
        <v>666</v>
      </c>
    </row>
    <row r="25" spans="1:7" x14ac:dyDescent="0.4">
      <c r="B25" s="4" t="s">
        <v>671</v>
      </c>
    </row>
    <row r="26" spans="1:7" x14ac:dyDescent="0.4">
      <c r="D26" s="4" t="s">
        <v>366</v>
      </c>
      <c r="E26" s="4" t="s">
        <v>656</v>
      </c>
      <c r="F26" s="4" t="s">
        <v>535</v>
      </c>
    </row>
    <row r="27" spans="1:7" x14ac:dyDescent="0.4">
      <c r="B27" s="4" t="s">
        <v>362</v>
      </c>
      <c r="D27" s="4">
        <f>+D12</f>
        <v>16000</v>
      </c>
      <c r="E27" s="4">
        <f>+E12</f>
        <v>8000</v>
      </c>
      <c r="F27" s="4">
        <f>+F12</f>
        <v>9800</v>
      </c>
    </row>
    <row r="28" spans="1:7" x14ac:dyDescent="0.4">
      <c r="B28" s="4" t="s">
        <v>657</v>
      </c>
      <c r="D28" s="4">
        <v>2000</v>
      </c>
      <c r="E28" s="4">
        <v>2200</v>
      </c>
      <c r="F28" s="4">
        <v>1200</v>
      </c>
      <c r="G28" s="4" t="s">
        <v>358</v>
      </c>
    </row>
    <row r="29" spans="1:7" x14ac:dyDescent="0.4">
      <c r="B29" s="4" t="s">
        <v>658</v>
      </c>
      <c r="C29" s="4">
        <v>1800</v>
      </c>
      <c r="D29" s="4">
        <f>+$C29*D30</f>
        <v>1260</v>
      </c>
      <c r="E29" s="4">
        <f>+$C29*E30</f>
        <v>900</v>
      </c>
      <c r="F29" s="4">
        <f>+$C29*F30</f>
        <v>1080</v>
      </c>
      <c r="G29" s="4" t="s">
        <v>358</v>
      </c>
    </row>
    <row r="30" spans="1:7" x14ac:dyDescent="0.4">
      <c r="B30" s="185"/>
      <c r="C30" s="185"/>
      <c r="D30" s="186">
        <v>0.7</v>
      </c>
      <c r="E30" s="186">
        <v>0.5</v>
      </c>
      <c r="F30" s="186">
        <v>0.6</v>
      </c>
      <c r="G30" s="185" t="s">
        <v>356</v>
      </c>
    </row>
    <row r="31" spans="1:7" x14ac:dyDescent="0.4">
      <c r="B31" s="185" t="s">
        <v>669</v>
      </c>
      <c r="C31" s="185"/>
      <c r="D31" s="185">
        <f>+D16*D30</f>
        <v>1680</v>
      </c>
      <c r="E31" s="185">
        <f>+E16*E30</f>
        <v>800</v>
      </c>
      <c r="F31" s="185">
        <f>+F16*F30</f>
        <v>240</v>
      </c>
      <c r="G31" s="185"/>
    </row>
    <row r="32" spans="1:7" x14ac:dyDescent="0.4">
      <c r="B32" s="4" t="s">
        <v>670</v>
      </c>
      <c r="D32" s="4">
        <f>+$E$32*D30/$E$30</f>
        <v>3779.9999999999995</v>
      </c>
      <c r="E32" s="136">
        <f>+E33-E28-E29</f>
        <v>2700</v>
      </c>
      <c r="F32" s="4">
        <f>+$E$32*F30/$E$30</f>
        <v>3240</v>
      </c>
      <c r="G32" s="4" t="s">
        <v>673</v>
      </c>
    </row>
    <row r="33" spans="1:13" x14ac:dyDescent="0.4">
      <c r="B33" s="4" t="s">
        <v>672</v>
      </c>
      <c r="D33" s="82">
        <f>+SUM(D28,D29,D32)</f>
        <v>7040</v>
      </c>
      <c r="E33" s="82">
        <f>+E27*(1-E38)</f>
        <v>5800</v>
      </c>
      <c r="F33" s="82">
        <f>+SUM(F28,F29,F32)</f>
        <v>5520</v>
      </c>
    </row>
    <row r="36" spans="1:13" x14ac:dyDescent="0.4">
      <c r="B36" s="4" t="s">
        <v>674</v>
      </c>
      <c r="D36" s="4">
        <f>+D32*D16</f>
        <v>9071999.9999999981</v>
      </c>
      <c r="E36" s="4">
        <f>+E32*E16</f>
        <v>4320000</v>
      </c>
      <c r="F36" s="4">
        <f>+F32*F16</f>
        <v>1296000</v>
      </c>
      <c r="G36" s="82">
        <f>+SUM(D36:F36)</f>
        <v>14687999.999999998</v>
      </c>
    </row>
    <row r="37" spans="1:13" x14ac:dyDescent="0.4">
      <c r="B37" s="4" t="s">
        <v>667</v>
      </c>
      <c r="D37" s="82">
        <f>+(D27-D33)*D16</f>
        <v>21504000</v>
      </c>
      <c r="E37" s="82">
        <f>+(E27-E33)*E16</f>
        <v>3520000</v>
      </c>
      <c r="F37" s="82">
        <f>+(F27-F33)*F16</f>
        <v>1712000</v>
      </c>
    </row>
    <row r="38" spans="1:13" x14ac:dyDescent="0.4">
      <c r="B38" s="4" t="s">
        <v>668</v>
      </c>
      <c r="E38" s="86">
        <v>0.27500000000000002</v>
      </c>
    </row>
    <row r="40" spans="1:13" x14ac:dyDescent="0.4">
      <c r="A40" s="4" t="s">
        <v>698</v>
      </c>
    </row>
    <row r="42" spans="1:13" x14ac:dyDescent="0.4">
      <c r="B42" s="4" t="s">
        <v>675</v>
      </c>
      <c r="D42" s="4" t="s">
        <v>366</v>
      </c>
      <c r="E42" s="4" t="s">
        <v>656</v>
      </c>
      <c r="F42" s="4" t="s">
        <v>535</v>
      </c>
      <c r="G42" s="4" t="s">
        <v>540</v>
      </c>
    </row>
    <row r="43" spans="1:13" x14ac:dyDescent="0.4">
      <c r="B43" s="4" t="s">
        <v>689</v>
      </c>
      <c r="D43" s="4">
        <f>+D31</f>
        <v>1680</v>
      </c>
      <c r="E43" s="4">
        <f t="shared" ref="E43:F43" si="1">+E31</f>
        <v>800</v>
      </c>
      <c r="F43" s="4">
        <f t="shared" si="1"/>
        <v>240</v>
      </c>
      <c r="G43" s="4">
        <f>SUM(D43:F43)</f>
        <v>2720</v>
      </c>
      <c r="H43" s="4" t="s">
        <v>679</v>
      </c>
    </row>
    <row r="44" spans="1:13" x14ac:dyDescent="0.4">
      <c r="B44" s="4" t="s">
        <v>690</v>
      </c>
      <c r="D44" s="4">
        <v>24</v>
      </c>
      <c r="E44" s="4">
        <v>16</v>
      </c>
      <c r="F44" s="4">
        <v>40</v>
      </c>
      <c r="G44" s="4">
        <f t="shared" ref="G44:G50" si="2">SUM(D44:F44)</f>
        <v>80</v>
      </c>
      <c r="H44" s="4" t="s">
        <v>676</v>
      </c>
    </row>
    <row r="45" spans="1:13" x14ac:dyDescent="0.4">
      <c r="B45" s="4" t="s">
        <v>691</v>
      </c>
      <c r="D45" s="4">
        <v>250</v>
      </c>
      <c r="E45" s="4">
        <v>200</v>
      </c>
      <c r="F45" s="4">
        <v>350</v>
      </c>
      <c r="G45" s="4">
        <f t="shared" si="2"/>
        <v>800</v>
      </c>
      <c r="H45" s="4" t="s">
        <v>676</v>
      </c>
    </row>
    <row r="46" spans="1:13" x14ac:dyDescent="0.4">
      <c r="B46" s="4" t="s">
        <v>692</v>
      </c>
      <c r="D46" s="23">
        <v>1.5</v>
      </c>
      <c r="E46" s="23">
        <v>1</v>
      </c>
      <c r="F46" s="23">
        <v>2</v>
      </c>
      <c r="H46" s="4" t="s">
        <v>677</v>
      </c>
    </row>
    <row r="47" spans="1:13" x14ac:dyDescent="0.4">
      <c r="D47" s="47">
        <f>+D46*D16</f>
        <v>3600</v>
      </c>
      <c r="E47" s="47">
        <f t="shared" ref="E47:F47" si="3">+E46*E16</f>
        <v>1600</v>
      </c>
      <c r="F47" s="47">
        <f t="shared" si="3"/>
        <v>800</v>
      </c>
      <c r="G47" s="4">
        <f t="shared" si="2"/>
        <v>6000</v>
      </c>
      <c r="H47" s="4" t="s">
        <v>680</v>
      </c>
      <c r="M47" s="4" t="s">
        <v>688</v>
      </c>
    </row>
    <row r="48" spans="1:13" x14ac:dyDescent="0.4">
      <c r="B48" s="4" t="s">
        <v>693</v>
      </c>
      <c r="D48" s="4">
        <f>+D28*D16</f>
        <v>4800000</v>
      </c>
      <c r="E48" s="4">
        <f t="shared" ref="E48:F48" si="4">+E28*E16</f>
        <v>3520000</v>
      </c>
      <c r="F48" s="4">
        <f t="shared" si="4"/>
        <v>480000</v>
      </c>
      <c r="G48" s="4">
        <f t="shared" si="2"/>
        <v>8800000</v>
      </c>
      <c r="H48" s="4" t="s">
        <v>358</v>
      </c>
    </row>
    <row r="49" spans="1:11" x14ac:dyDescent="0.4">
      <c r="B49" s="4" t="s">
        <v>694</v>
      </c>
      <c r="D49" s="4">
        <v>24</v>
      </c>
      <c r="E49" s="4">
        <v>16</v>
      </c>
      <c r="F49" s="4">
        <v>4</v>
      </c>
      <c r="G49" s="4">
        <f t="shared" si="2"/>
        <v>44</v>
      </c>
      <c r="H49" s="4" t="s">
        <v>678</v>
      </c>
    </row>
    <row r="50" spans="1:11" x14ac:dyDescent="0.4">
      <c r="B50" s="4" t="s">
        <v>695</v>
      </c>
      <c r="D50" s="4">
        <v>12</v>
      </c>
      <c r="E50" s="4">
        <v>8</v>
      </c>
      <c r="F50" s="4">
        <v>40</v>
      </c>
      <c r="G50" s="4">
        <f t="shared" si="2"/>
        <v>60</v>
      </c>
      <c r="H50" s="4" t="s">
        <v>678</v>
      </c>
    </row>
    <row r="54" spans="1:11" x14ac:dyDescent="0.4">
      <c r="D54" s="4" t="s">
        <v>696</v>
      </c>
    </row>
    <row r="55" spans="1:11" x14ac:dyDescent="0.4">
      <c r="A55" s="4" t="s">
        <v>681</v>
      </c>
      <c r="B55" s="4">
        <v>3600000</v>
      </c>
      <c r="C55" s="4" t="s">
        <v>692</v>
      </c>
      <c r="D55" s="4">
        <f>+$B55*D47/$G47</f>
        <v>2160000</v>
      </c>
      <c r="E55" s="4">
        <f>+$B55*E47/$G47</f>
        <v>960000</v>
      </c>
      <c r="F55" s="4">
        <f>+$B55*F47/$G47</f>
        <v>480000</v>
      </c>
    </row>
    <row r="56" spans="1:11" x14ac:dyDescent="0.4">
      <c r="A56" s="4" t="s">
        <v>682</v>
      </c>
      <c r="B56" s="4">
        <v>700000</v>
      </c>
      <c r="C56" s="4" t="s">
        <v>690</v>
      </c>
      <c r="D56" s="4">
        <f t="shared" ref="D56:F57" si="5">+$B56*D44/$G44</f>
        <v>210000</v>
      </c>
      <c r="E56" s="4">
        <f t="shared" si="5"/>
        <v>140000</v>
      </c>
      <c r="F56" s="4">
        <f t="shared" si="5"/>
        <v>350000</v>
      </c>
    </row>
    <row r="57" spans="1:11" x14ac:dyDescent="0.4">
      <c r="A57" s="4" t="s">
        <v>683</v>
      </c>
      <c r="B57" s="4">
        <v>2400000</v>
      </c>
      <c r="C57" s="4" t="s">
        <v>691</v>
      </c>
      <c r="D57" s="4">
        <f t="shared" si="5"/>
        <v>750000</v>
      </c>
      <c r="E57" s="4">
        <f t="shared" si="5"/>
        <v>600000</v>
      </c>
      <c r="F57" s="4">
        <f t="shared" si="5"/>
        <v>1050000</v>
      </c>
    </row>
    <row r="58" spans="1:11" x14ac:dyDescent="0.4">
      <c r="A58" s="4" t="s">
        <v>684</v>
      </c>
      <c r="B58" s="4">
        <v>1320000</v>
      </c>
      <c r="C58" s="4" t="s">
        <v>693</v>
      </c>
      <c r="D58" s="4">
        <f>+$B58*D48/$G48</f>
        <v>720000</v>
      </c>
      <c r="E58" s="4">
        <f>+$B58*E48/$G48</f>
        <v>528000</v>
      </c>
      <c r="F58" s="4">
        <f>+$B58*F48/$G48</f>
        <v>72000</v>
      </c>
    </row>
    <row r="59" spans="1:11" x14ac:dyDescent="0.4">
      <c r="A59" s="4" t="s">
        <v>685</v>
      </c>
      <c r="B59" s="184">
        <f>+B63-SUM(B55:B58,B60:B62)</f>
        <v>507999.99999999814</v>
      </c>
      <c r="C59" s="4" t="s">
        <v>694</v>
      </c>
      <c r="F59" s="4">
        <f>+B59</f>
        <v>507999.99999999814</v>
      </c>
      <c r="K59" s="4" t="s">
        <v>697</v>
      </c>
    </row>
    <row r="60" spans="1:11" x14ac:dyDescent="0.4">
      <c r="A60" s="4" t="s">
        <v>685</v>
      </c>
      <c r="B60" s="12">
        <v>880000</v>
      </c>
      <c r="D60" s="4">
        <f>+$B60*D49/$G49</f>
        <v>480000</v>
      </c>
      <c r="E60" s="4">
        <f t="shared" ref="E60:F60" si="6">+$B60*E49/$G49</f>
        <v>320000</v>
      </c>
      <c r="F60" s="4">
        <f t="shared" si="6"/>
        <v>80000</v>
      </c>
    </row>
    <row r="61" spans="1:11" x14ac:dyDescent="0.4">
      <c r="A61" s="4" t="s">
        <v>686</v>
      </c>
      <c r="B61" s="4">
        <v>1200000</v>
      </c>
      <c r="C61" s="4" t="s">
        <v>695</v>
      </c>
      <c r="D61" s="4">
        <f>+$B61*D50/$G50</f>
        <v>240000</v>
      </c>
      <c r="E61" s="4">
        <f>+$B61*E50/$G50</f>
        <v>160000</v>
      </c>
      <c r="F61" s="4">
        <f>+$B61*F50/$G50</f>
        <v>800000</v>
      </c>
    </row>
    <row r="62" spans="1:11" x14ac:dyDescent="0.4">
      <c r="A62" s="4" t="s">
        <v>687</v>
      </c>
      <c r="B62" s="4">
        <v>4080000</v>
      </c>
      <c r="C62" s="4" t="s">
        <v>689</v>
      </c>
      <c r="D62" s="4">
        <f>+$B62*D43/$G43</f>
        <v>2520000</v>
      </c>
      <c r="E62" s="4">
        <f>+$B62*E43/$G43</f>
        <v>1200000</v>
      </c>
      <c r="F62" s="4">
        <f>+$B62*F43/$G43</f>
        <v>360000</v>
      </c>
    </row>
    <row r="63" spans="1:11" ht="16.8" thickBot="1" x14ac:dyDescent="0.45">
      <c r="A63" s="4" t="s">
        <v>540</v>
      </c>
      <c r="B63" s="150">
        <f>+G36</f>
        <v>14687999.999999998</v>
      </c>
      <c r="D63" s="150">
        <f>+SUM(D55:D62)</f>
        <v>7080000</v>
      </c>
      <c r="E63" s="150">
        <f>+SUM(E55:E62)</f>
        <v>3908000</v>
      </c>
      <c r="F63" s="150">
        <f>+SUM(F55:F62)</f>
        <v>3699999.9999999981</v>
      </c>
    </row>
    <row r="64" spans="1:11" ht="16.8" thickTop="1" x14ac:dyDescent="0.4"/>
    <row r="66" spans="1:7" x14ac:dyDescent="0.4">
      <c r="B66" s="4" t="s">
        <v>672</v>
      </c>
      <c r="D66" s="4">
        <f>+D63/D16+D28+D29</f>
        <v>6210</v>
      </c>
      <c r="E66" s="4">
        <f>+E63/E16+E28+E29</f>
        <v>5542.5</v>
      </c>
      <c r="F66" s="4">
        <f>+F63/F16+F28+F29</f>
        <v>11529.999999999995</v>
      </c>
    </row>
    <row r="67" spans="1:7" x14ac:dyDescent="0.4">
      <c r="B67" s="4" t="s">
        <v>667</v>
      </c>
      <c r="D67" s="82">
        <f>+D16*(D12-D66)</f>
        <v>23496000</v>
      </c>
      <c r="E67" s="82">
        <f t="shared" ref="E67:F67" si="7">+E16*(E12-E66)</f>
        <v>3932000</v>
      </c>
      <c r="F67" s="82">
        <f t="shared" si="7"/>
        <v>-691999.99999999779</v>
      </c>
    </row>
    <row r="69" spans="1:7" x14ac:dyDescent="0.4">
      <c r="A69" s="4" t="s">
        <v>699</v>
      </c>
    </row>
    <row r="70" spans="1:7" x14ac:dyDescent="0.4">
      <c r="B70" s="4" t="s">
        <v>700</v>
      </c>
      <c r="D70" s="4">
        <f>+D33-D66</f>
        <v>830</v>
      </c>
      <c r="E70" s="4">
        <f t="shared" ref="E70:F70" si="8">+E33-E66</f>
        <v>257.5</v>
      </c>
      <c r="F70" s="4">
        <f t="shared" si="8"/>
        <v>-6009.9999999999945</v>
      </c>
    </row>
    <row r="71" spans="1:7" x14ac:dyDescent="0.4">
      <c r="B71" s="4" t="s">
        <v>701</v>
      </c>
      <c r="D71" s="82">
        <f>+D70*D16</f>
        <v>1992000</v>
      </c>
      <c r="E71" s="82">
        <f t="shared" ref="E71:F71" si="9">+E70*E16</f>
        <v>412000</v>
      </c>
      <c r="F71" s="82">
        <f t="shared" si="9"/>
        <v>-2403999.9999999977</v>
      </c>
    </row>
    <row r="72" spans="1:7" x14ac:dyDescent="0.4">
      <c r="C72" s="118" t="s">
        <v>705</v>
      </c>
      <c r="D72" s="4" t="s">
        <v>702</v>
      </c>
      <c r="E72" s="4" t="s">
        <v>702</v>
      </c>
      <c r="F72" s="4" t="s">
        <v>703</v>
      </c>
      <c r="G72" s="4" t="s">
        <v>704</v>
      </c>
    </row>
  </sheetData>
  <mergeCells count="2">
    <mergeCell ref="D14:F14"/>
    <mergeCell ref="D15:F15"/>
  </mergeCells>
  <phoneticPr fontId="3"/>
  <pageMargins left="0.25" right="0.25" top="0.75" bottom="0.75" header="0.3" footer="0.3"/>
  <pageSetup paperSize="9" scale="65"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75"/>
  <sheetViews>
    <sheetView zoomScale="90" zoomScaleNormal="90" zoomScaleSheetLayoutView="100" workbookViewId="0">
      <selection activeCell="Q14" sqref="Q14"/>
    </sheetView>
  </sheetViews>
  <sheetFormatPr defaultColWidth="12" defaultRowHeight="16.2" x14ac:dyDescent="0.4"/>
  <cols>
    <col min="1" max="1" width="12.109375" style="4" customWidth="1"/>
    <col min="2" max="6" width="13.109375" style="4" customWidth="1"/>
    <col min="7" max="8" width="12.6640625" style="4" customWidth="1"/>
    <col min="9" max="11" width="13.109375" style="4" customWidth="1"/>
    <col min="12" max="12" width="12" style="4"/>
    <col min="13" max="13" width="11.88671875" style="4" customWidth="1"/>
    <col min="14" max="16384" width="12" style="4"/>
  </cols>
  <sheetData>
    <row r="1" spans="1:19" x14ac:dyDescent="0.4">
      <c r="A1" s="1" t="s">
        <v>302</v>
      </c>
      <c r="B1" s="2"/>
      <c r="C1" s="2"/>
      <c r="D1" s="2"/>
      <c r="E1" s="2"/>
      <c r="F1" s="2"/>
      <c r="G1" s="2"/>
      <c r="H1" s="2"/>
      <c r="I1" s="2"/>
      <c r="J1" s="2"/>
      <c r="K1" s="2"/>
      <c r="L1" s="2"/>
      <c r="M1" s="2"/>
      <c r="N1" s="2"/>
      <c r="O1" s="2"/>
      <c r="P1" s="2"/>
      <c r="Q1" s="2"/>
      <c r="R1" s="3"/>
    </row>
    <row r="2" spans="1:19" x14ac:dyDescent="0.4">
      <c r="A2" s="5" t="s">
        <v>261</v>
      </c>
      <c r="B2" s="6"/>
      <c r="C2" s="6"/>
      <c r="D2" s="6"/>
      <c r="E2" s="6"/>
      <c r="F2" s="6"/>
      <c r="G2" s="6"/>
      <c r="H2" s="6"/>
      <c r="I2" s="6"/>
      <c r="J2" s="6"/>
      <c r="K2" s="6"/>
      <c r="L2" s="6"/>
      <c r="M2" s="6"/>
      <c r="N2" s="6"/>
      <c r="O2" s="6"/>
      <c r="P2" s="6"/>
      <c r="Q2" s="6"/>
      <c r="R2" s="7"/>
    </row>
    <row r="3" spans="1:19" x14ac:dyDescent="0.4">
      <c r="A3" s="8"/>
      <c r="B3" s="9"/>
      <c r="C3" s="9"/>
      <c r="D3" s="9"/>
      <c r="E3" s="9"/>
      <c r="F3" s="9"/>
      <c r="G3" s="9"/>
      <c r="H3" s="9"/>
      <c r="I3" s="9"/>
      <c r="J3" s="9"/>
      <c r="K3" s="9"/>
      <c r="L3" s="9"/>
      <c r="M3" s="9"/>
      <c r="N3" s="9"/>
      <c r="O3" s="9"/>
      <c r="P3" s="9"/>
      <c r="Q3" s="9"/>
      <c r="R3" s="10"/>
    </row>
    <row r="4" spans="1:19" s="12" customFormat="1" x14ac:dyDescent="0.4">
      <c r="A4" s="11"/>
      <c r="B4" s="11"/>
      <c r="C4" s="11"/>
      <c r="D4" s="11"/>
      <c r="E4" s="11"/>
      <c r="F4" s="11"/>
      <c r="G4" s="11"/>
      <c r="H4" s="11"/>
      <c r="I4" s="11"/>
      <c r="J4" s="11"/>
      <c r="K4" s="11"/>
      <c r="L4" s="11"/>
      <c r="M4" s="11"/>
      <c r="N4" s="11"/>
      <c r="O4" s="11"/>
      <c r="P4" s="11"/>
      <c r="Q4" s="11"/>
      <c r="R4" s="11"/>
    </row>
    <row r="5" spans="1:19" x14ac:dyDescent="0.4">
      <c r="A5" s="13" t="s">
        <v>956</v>
      </c>
      <c r="B5" s="14"/>
      <c r="C5" s="14"/>
      <c r="D5" s="14"/>
      <c r="E5" s="14"/>
      <c r="F5" s="14"/>
      <c r="G5" s="14"/>
      <c r="H5" s="14"/>
      <c r="I5" s="14"/>
      <c r="J5" s="14"/>
      <c r="K5" s="14"/>
      <c r="L5" s="14"/>
      <c r="M5" s="14"/>
      <c r="N5" s="14"/>
      <c r="O5" s="14"/>
      <c r="P5" s="14"/>
      <c r="Q5" s="14"/>
      <c r="R5" s="14"/>
      <c r="S5" s="15"/>
    </row>
    <row r="6" spans="1:19" x14ac:dyDescent="0.4">
      <c r="A6" s="16" t="s">
        <v>955</v>
      </c>
      <c r="B6" s="17"/>
      <c r="C6" s="17"/>
      <c r="D6" s="17"/>
      <c r="E6" s="17"/>
      <c r="F6" s="17"/>
      <c r="G6" s="17"/>
      <c r="H6" s="17"/>
      <c r="I6" s="17"/>
      <c r="J6" s="17"/>
      <c r="K6" s="17"/>
      <c r="L6" s="17"/>
      <c r="M6" s="17"/>
      <c r="N6" s="17"/>
      <c r="O6" s="17"/>
      <c r="P6" s="17"/>
      <c r="Q6" s="17"/>
      <c r="R6" s="17"/>
      <c r="S6" s="18"/>
    </row>
    <row r="7" spans="1:19" x14ac:dyDescent="0.4">
      <c r="A7" s="16" t="s">
        <v>954</v>
      </c>
      <c r="B7" s="17"/>
      <c r="C7" s="17"/>
      <c r="D7" s="17"/>
      <c r="E7" s="17"/>
      <c r="F7" s="17"/>
      <c r="G7" s="17"/>
      <c r="H7" s="17"/>
      <c r="I7" s="17"/>
      <c r="J7" s="17"/>
      <c r="K7" s="17"/>
      <c r="L7" s="17"/>
      <c r="M7" s="17"/>
      <c r="N7" s="17"/>
      <c r="O7" s="17"/>
      <c r="P7" s="17"/>
      <c r="Q7" s="17"/>
      <c r="R7" s="17"/>
      <c r="S7" s="18"/>
    </row>
    <row r="8" spans="1:19" x14ac:dyDescent="0.4">
      <c r="A8" s="19" t="s">
        <v>953</v>
      </c>
      <c r="B8" s="20"/>
      <c r="C8" s="20"/>
      <c r="D8" s="20"/>
      <c r="E8" s="20"/>
      <c r="F8" s="20"/>
      <c r="G8" s="20"/>
      <c r="H8" s="20"/>
      <c r="I8" s="20"/>
      <c r="J8" s="46"/>
      <c r="K8" s="20"/>
      <c r="L8" s="20"/>
      <c r="M8" s="20"/>
      <c r="N8" s="20"/>
      <c r="O8" s="20"/>
      <c r="P8" s="20"/>
      <c r="Q8" s="20"/>
      <c r="R8" s="20"/>
      <c r="S8" s="21"/>
    </row>
    <row r="11" spans="1:19" x14ac:dyDescent="0.4">
      <c r="C11" s="24" t="s">
        <v>163</v>
      </c>
      <c r="D11" s="25" t="s">
        <v>952</v>
      </c>
      <c r="E11" s="25" t="s">
        <v>951</v>
      </c>
      <c r="F11" s="29" t="s">
        <v>950</v>
      </c>
    </row>
    <row r="12" spans="1:19" x14ac:dyDescent="0.4">
      <c r="C12" s="26"/>
      <c r="D12" s="27"/>
      <c r="E12" s="27"/>
      <c r="F12" s="30"/>
    </row>
    <row r="13" spans="1:19" x14ac:dyDescent="0.4">
      <c r="B13" s="4" t="s">
        <v>1</v>
      </c>
      <c r="D13" s="119">
        <v>0.95240000000000002</v>
      </c>
      <c r="E13" s="119">
        <v>0.90700000000000003</v>
      </c>
      <c r="F13" s="119">
        <v>0.86380000000000001</v>
      </c>
    </row>
    <row r="15" spans="1:19" x14ac:dyDescent="0.4">
      <c r="A15" s="4" t="s">
        <v>843</v>
      </c>
      <c r="C15" s="4">
        <v>1000</v>
      </c>
      <c r="F15" s="82">
        <f>+C15/F13</f>
        <v>1157.6753878212548</v>
      </c>
      <c r="G15" s="4" t="s">
        <v>949</v>
      </c>
    </row>
    <row r="17" spans="1:19" x14ac:dyDescent="0.4">
      <c r="A17" s="4" t="s">
        <v>829</v>
      </c>
      <c r="C17" s="82">
        <f>+F17*F13</f>
        <v>863.80000000000007</v>
      </c>
      <c r="D17" s="4" t="s">
        <v>948</v>
      </c>
      <c r="F17" s="4">
        <v>1000</v>
      </c>
    </row>
    <row r="19" spans="1:19" x14ac:dyDescent="0.4">
      <c r="A19" s="4" t="s">
        <v>822</v>
      </c>
      <c r="D19" s="245">
        <f>+SUM(D13:F13)</f>
        <v>2.7231999999999998</v>
      </c>
      <c r="E19" s="246"/>
      <c r="F19" s="247"/>
      <c r="G19" s="4" t="s">
        <v>947</v>
      </c>
    </row>
    <row r="20" spans="1:19" x14ac:dyDescent="0.4">
      <c r="C20" s="82">
        <f>+D20*D19</f>
        <v>2723.2</v>
      </c>
      <c r="D20" s="4">
        <v>1000</v>
      </c>
      <c r="E20" s="4">
        <v>1000</v>
      </c>
      <c r="F20" s="4">
        <v>1000</v>
      </c>
    </row>
    <row r="21" spans="1:19" x14ac:dyDescent="0.4">
      <c r="C21" s="4" t="s">
        <v>946</v>
      </c>
    </row>
    <row r="24" spans="1:19" x14ac:dyDescent="0.4">
      <c r="A24" s="13" t="s">
        <v>945</v>
      </c>
      <c r="B24" s="14"/>
      <c r="C24" s="14"/>
      <c r="D24" s="14"/>
      <c r="E24" s="14"/>
      <c r="F24" s="14"/>
      <c r="G24" s="14"/>
      <c r="H24" s="14"/>
      <c r="I24" s="14"/>
      <c r="J24" s="14"/>
      <c r="K24" s="14"/>
      <c r="L24" s="14"/>
      <c r="M24" s="14"/>
      <c r="N24" s="14"/>
      <c r="O24" s="14"/>
      <c r="P24" s="14"/>
      <c r="Q24" s="14"/>
      <c r="R24" s="14"/>
      <c r="S24" s="15"/>
    </row>
    <row r="25" spans="1:19" x14ac:dyDescent="0.4">
      <c r="A25" s="16" t="s">
        <v>944</v>
      </c>
      <c r="B25" s="17"/>
      <c r="C25" s="17"/>
      <c r="D25" s="17"/>
      <c r="E25" s="17"/>
      <c r="F25" s="17"/>
      <c r="G25" s="17"/>
      <c r="H25" s="17"/>
      <c r="I25" s="17"/>
      <c r="J25" s="17"/>
      <c r="K25" s="17"/>
      <c r="L25" s="17"/>
      <c r="M25" s="17"/>
      <c r="N25" s="17"/>
      <c r="O25" s="17"/>
      <c r="P25" s="17"/>
      <c r="Q25" s="17"/>
      <c r="R25" s="17"/>
      <c r="S25" s="18"/>
    </row>
    <row r="26" spans="1:19" x14ac:dyDescent="0.4">
      <c r="A26" s="19" t="s">
        <v>943</v>
      </c>
      <c r="B26" s="20"/>
      <c r="C26" s="20"/>
      <c r="D26" s="20"/>
      <c r="E26" s="20"/>
      <c r="F26" s="20"/>
      <c r="G26" s="20"/>
      <c r="H26" s="20"/>
      <c r="I26" s="20"/>
      <c r="J26" s="46"/>
      <c r="K26" s="20"/>
      <c r="L26" s="20"/>
      <c r="M26" s="20"/>
      <c r="N26" s="20"/>
      <c r="O26" s="20"/>
      <c r="P26" s="20"/>
      <c r="Q26" s="20"/>
      <c r="R26" s="20"/>
      <c r="S26" s="21"/>
    </row>
    <row r="28" spans="1:19" x14ac:dyDescent="0.4">
      <c r="C28" s="24" t="s">
        <v>163</v>
      </c>
      <c r="D28" s="25" t="s">
        <v>942</v>
      </c>
      <c r="E28" s="25" t="s">
        <v>155</v>
      </c>
      <c r="F28" s="29" t="s">
        <v>201</v>
      </c>
    </row>
    <row r="29" spans="1:19" x14ac:dyDescent="0.4">
      <c r="C29" s="26"/>
      <c r="D29" s="27"/>
      <c r="E29" s="27"/>
      <c r="F29" s="30"/>
    </row>
    <row r="30" spans="1:19" x14ac:dyDescent="0.4">
      <c r="B30" s="4" t="s">
        <v>893</v>
      </c>
      <c r="C30" s="36">
        <v>10000</v>
      </c>
      <c r="D30" s="36"/>
      <c r="E30" s="36"/>
      <c r="F30" s="36"/>
    </row>
    <row r="31" spans="1:19" x14ac:dyDescent="0.4">
      <c r="B31" s="4" t="s">
        <v>941</v>
      </c>
      <c r="D31" s="4">
        <v>3400</v>
      </c>
      <c r="E31" s="4">
        <v>4200</v>
      </c>
      <c r="F31" s="4">
        <v>3200</v>
      </c>
    </row>
    <row r="32" spans="1:19" x14ac:dyDescent="0.4">
      <c r="B32" s="4" t="s">
        <v>940</v>
      </c>
      <c r="F32" s="4">
        <v>800</v>
      </c>
    </row>
    <row r="33" spans="1:19" x14ac:dyDescent="0.4">
      <c r="B33" s="4" t="s">
        <v>861</v>
      </c>
      <c r="C33" s="4">
        <f>-C30</f>
        <v>-10000</v>
      </c>
      <c r="D33" s="4">
        <f>+D31*D34</f>
        <v>3207.56</v>
      </c>
      <c r="E33" s="4">
        <f>+E31*E34</f>
        <v>3738</v>
      </c>
      <c r="F33" s="4">
        <f>+SUM(F31:F32)*F34</f>
        <v>3358.4</v>
      </c>
    </row>
    <row r="34" spans="1:19" x14ac:dyDescent="0.4">
      <c r="B34" s="4" t="s">
        <v>1</v>
      </c>
      <c r="D34" s="119">
        <v>0.94340000000000002</v>
      </c>
      <c r="E34" s="119">
        <v>0.89</v>
      </c>
      <c r="F34" s="119">
        <v>0.83960000000000001</v>
      </c>
    </row>
    <row r="35" spans="1:19" x14ac:dyDescent="0.4">
      <c r="D35" s="119"/>
      <c r="E35" s="119"/>
      <c r="F35" s="119"/>
    </row>
    <row r="36" spans="1:19" x14ac:dyDescent="0.4">
      <c r="A36" s="4" t="s">
        <v>939</v>
      </c>
      <c r="B36" s="4" t="s">
        <v>79</v>
      </c>
      <c r="C36" s="244">
        <f>+SUM(C33:F33)</f>
        <v>303.95999999999958</v>
      </c>
      <c r="D36" s="4" t="s">
        <v>938</v>
      </c>
    </row>
    <row r="38" spans="1:19" x14ac:dyDescent="0.4">
      <c r="A38" s="4" t="s">
        <v>937</v>
      </c>
      <c r="B38" s="4" t="s">
        <v>936</v>
      </c>
      <c r="C38" s="244">
        <f>+SUM(D33:F33)/C30</f>
        <v>1.0303959999999999</v>
      </c>
      <c r="D38" s="4" t="s">
        <v>935</v>
      </c>
    </row>
    <row r="40" spans="1:19" x14ac:dyDescent="0.4">
      <c r="A40" s="4" t="s">
        <v>934</v>
      </c>
      <c r="B40" s="4" t="s">
        <v>933</v>
      </c>
      <c r="C40" s="47">
        <f>+C33</f>
        <v>-10000</v>
      </c>
      <c r="D40" s="4">
        <f>+SUM(D31:D32)</f>
        <v>3400</v>
      </c>
      <c r="E40" s="4">
        <f>+SUM(E31:E32)</f>
        <v>4200</v>
      </c>
      <c r="F40" s="4">
        <f>+SUM(F31:F32)</f>
        <v>4000</v>
      </c>
    </row>
    <row r="41" spans="1:19" x14ac:dyDescent="0.4">
      <c r="B41" s="4" t="s">
        <v>932</v>
      </c>
      <c r="C41" s="83">
        <f>+IRR(C40:F40)</f>
        <v>7.5912494007007725E-2</v>
      </c>
    </row>
    <row r="42" spans="1:19" x14ac:dyDescent="0.4">
      <c r="C42" s="4" t="s">
        <v>931</v>
      </c>
    </row>
    <row r="45" spans="1:19" x14ac:dyDescent="0.4">
      <c r="A45" s="13" t="s">
        <v>930</v>
      </c>
      <c r="B45" s="14"/>
      <c r="C45" s="14"/>
      <c r="D45" s="14"/>
      <c r="E45" s="14"/>
      <c r="F45" s="14"/>
      <c r="G45" s="14"/>
      <c r="H45" s="14"/>
      <c r="I45" s="14"/>
      <c r="J45" s="14"/>
      <c r="K45" s="14"/>
      <c r="L45" s="14"/>
      <c r="M45" s="14"/>
      <c r="N45" s="14"/>
      <c r="O45" s="14"/>
      <c r="P45" s="14"/>
      <c r="Q45" s="14"/>
      <c r="R45" s="14"/>
      <c r="S45" s="15"/>
    </row>
    <row r="46" spans="1:19" x14ac:dyDescent="0.4">
      <c r="A46" s="16" t="s">
        <v>929</v>
      </c>
      <c r="B46" s="17"/>
      <c r="C46" s="17"/>
      <c r="D46" s="17"/>
      <c r="E46" s="17"/>
      <c r="F46" s="17"/>
      <c r="G46" s="17"/>
      <c r="H46" s="17"/>
      <c r="I46" s="17"/>
      <c r="J46" s="17"/>
      <c r="K46" s="17"/>
      <c r="L46" s="17"/>
      <c r="M46" s="17"/>
      <c r="N46" s="17"/>
      <c r="O46" s="17"/>
      <c r="P46" s="17"/>
      <c r="Q46" s="17"/>
      <c r="R46" s="17"/>
      <c r="S46" s="18"/>
    </row>
    <row r="47" spans="1:19" x14ac:dyDescent="0.4">
      <c r="A47" s="19"/>
      <c r="B47" s="20"/>
      <c r="C47" s="20"/>
      <c r="D47" s="20"/>
      <c r="E47" s="20"/>
      <c r="F47" s="20"/>
      <c r="G47" s="20"/>
      <c r="H47" s="20"/>
      <c r="I47" s="20"/>
      <c r="J47" s="46"/>
      <c r="K47" s="20"/>
      <c r="L47" s="20"/>
      <c r="M47" s="20"/>
      <c r="N47" s="20"/>
      <c r="O47" s="20"/>
      <c r="P47" s="20"/>
      <c r="Q47" s="20"/>
      <c r="R47" s="20"/>
      <c r="S47" s="21"/>
    </row>
    <row r="49" spans="1:15" x14ac:dyDescent="0.4">
      <c r="A49" s="4" t="s">
        <v>928</v>
      </c>
    </row>
    <row r="50" spans="1:15" x14ac:dyDescent="0.4">
      <c r="A50" s="185"/>
      <c r="B50" s="185"/>
      <c r="C50" s="243" t="s">
        <v>927</v>
      </c>
      <c r="D50" s="242" t="s">
        <v>926</v>
      </c>
      <c r="E50" s="242" t="s">
        <v>925</v>
      </c>
      <c r="F50" s="242" t="s">
        <v>62</v>
      </c>
      <c r="G50" s="242" t="s">
        <v>63</v>
      </c>
      <c r="H50" s="242" t="s">
        <v>64</v>
      </c>
      <c r="I50" s="185"/>
      <c r="J50" s="185"/>
      <c r="K50" s="185"/>
      <c r="L50" s="185"/>
      <c r="M50" s="185"/>
      <c r="N50" s="185"/>
      <c r="O50" s="185"/>
    </row>
    <row r="51" spans="1:15" x14ac:dyDescent="0.4">
      <c r="A51" s="185"/>
      <c r="B51" s="185"/>
      <c r="C51" s="241"/>
      <c r="D51" s="240"/>
      <c r="E51" s="240"/>
      <c r="F51" s="240"/>
      <c r="G51" s="240"/>
      <c r="H51" s="239"/>
      <c r="I51" s="185"/>
      <c r="J51" s="185" t="s">
        <v>924</v>
      </c>
      <c r="K51" s="185"/>
      <c r="L51" s="185"/>
      <c r="M51" s="185" t="s">
        <v>48</v>
      </c>
      <c r="N51" s="185"/>
      <c r="O51" s="185"/>
    </row>
    <row r="52" spans="1:15" x14ac:dyDescent="0.4">
      <c r="A52" s="185" t="s">
        <v>923</v>
      </c>
      <c r="B52" s="185" t="s">
        <v>893</v>
      </c>
      <c r="C52" s="185">
        <v>91276</v>
      </c>
      <c r="D52" s="185"/>
      <c r="E52" s="185"/>
      <c r="F52" s="185"/>
      <c r="G52" s="185"/>
      <c r="H52" s="185"/>
      <c r="I52" s="185"/>
      <c r="J52" s="185"/>
      <c r="K52" s="185"/>
      <c r="L52" s="185"/>
      <c r="M52" s="185"/>
      <c r="N52" s="185"/>
      <c r="O52" s="185"/>
    </row>
    <row r="53" spans="1:15" x14ac:dyDescent="0.4">
      <c r="A53" s="185"/>
      <c r="B53" s="185" t="s">
        <v>922</v>
      </c>
      <c r="C53" s="185"/>
      <c r="D53" s="185">
        <v>15000</v>
      </c>
      <c r="E53" s="185">
        <v>16000</v>
      </c>
      <c r="F53" s="185">
        <v>20000</v>
      </c>
      <c r="G53" s="185">
        <v>18000</v>
      </c>
      <c r="H53" s="185">
        <v>21000</v>
      </c>
      <c r="I53" s="185"/>
      <c r="J53" s="181">
        <f>+C52/SUM(D53:H54)*5</f>
        <v>4.5638000000000005</v>
      </c>
      <c r="K53" s="185" t="s">
        <v>46</v>
      </c>
      <c r="L53" s="185"/>
      <c r="M53" s="83">
        <f>+SUM(D53:H54,-C52)/5/C52</f>
        <v>1.9115649239668697E-2</v>
      </c>
      <c r="N53" s="185"/>
      <c r="O53" s="185"/>
    </row>
    <row r="54" spans="1:15" x14ac:dyDescent="0.4">
      <c r="A54" s="185"/>
      <c r="B54" s="185" t="s">
        <v>30</v>
      </c>
      <c r="C54" s="185"/>
      <c r="D54" s="185"/>
      <c r="E54" s="185"/>
      <c r="F54" s="185"/>
      <c r="G54" s="185"/>
      <c r="H54" s="185">
        <v>10000</v>
      </c>
      <c r="I54" s="185"/>
      <c r="J54" s="185"/>
      <c r="K54" s="185"/>
      <c r="L54" s="185"/>
      <c r="M54" s="185"/>
      <c r="N54" s="185"/>
      <c r="O54" s="185"/>
    </row>
    <row r="55" spans="1:15" x14ac:dyDescent="0.4">
      <c r="A55" s="185"/>
      <c r="B55" s="185"/>
      <c r="C55" s="185"/>
      <c r="D55" s="185"/>
      <c r="E55" s="185"/>
      <c r="F55" s="185"/>
      <c r="G55" s="185"/>
      <c r="H55" s="185"/>
      <c r="I55" s="185"/>
      <c r="J55" s="185"/>
      <c r="K55" s="185"/>
      <c r="L55" s="185"/>
      <c r="M55" s="185"/>
      <c r="N55" s="185"/>
      <c r="O55" s="185"/>
    </row>
    <row r="56" spans="1:15" x14ac:dyDescent="0.4">
      <c r="A56" s="185" t="s">
        <v>451</v>
      </c>
      <c r="B56" s="185" t="s">
        <v>893</v>
      </c>
      <c r="C56" s="185">
        <v>151632</v>
      </c>
      <c r="D56" s="185"/>
      <c r="E56" s="185"/>
      <c r="F56" s="185"/>
      <c r="G56" s="185"/>
      <c r="H56" s="185"/>
      <c r="I56" s="185"/>
      <c r="J56" s="185"/>
      <c r="K56" s="185"/>
      <c r="L56" s="185"/>
      <c r="M56" s="185"/>
      <c r="N56" s="185"/>
      <c r="O56" s="185"/>
    </row>
    <row r="57" spans="1:15" x14ac:dyDescent="0.4">
      <c r="A57" s="185"/>
      <c r="B57" s="185" t="s">
        <v>922</v>
      </c>
      <c r="C57" s="185"/>
      <c r="D57" s="185">
        <v>30000</v>
      </c>
      <c r="E57" s="185">
        <v>35000</v>
      </c>
      <c r="F57" s="185">
        <v>40000</v>
      </c>
      <c r="G57" s="185">
        <v>37000</v>
      </c>
      <c r="H57" s="185">
        <v>43000</v>
      </c>
      <c r="I57" s="185"/>
      <c r="J57" s="181">
        <f>+C56/SUM(D57:H58)*5</f>
        <v>3.7907999999999999</v>
      </c>
      <c r="K57" s="185" t="s">
        <v>46</v>
      </c>
      <c r="L57" s="185"/>
      <c r="M57" s="83">
        <f>+SUM(D57:H58,-C56)/5/C56</f>
        <v>6.3796560092856391E-2</v>
      </c>
      <c r="N57" s="185"/>
      <c r="O57" s="185"/>
    </row>
    <row r="58" spans="1:15" x14ac:dyDescent="0.4">
      <c r="A58" s="185"/>
      <c r="B58" s="185" t="s">
        <v>30</v>
      </c>
      <c r="C58" s="185"/>
      <c r="D58" s="185"/>
      <c r="E58" s="185"/>
      <c r="F58" s="185"/>
      <c r="G58" s="185"/>
      <c r="H58" s="185">
        <v>15000</v>
      </c>
      <c r="I58" s="185"/>
      <c r="J58" s="185"/>
      <c r="K58" s="185"/>
      <c r="L58" s="185"/>
      <c r="M58" s="185"/>
      <c r="N58" s="185"/>
      <c r="O58" s="185"/>
    </row>
    <row r="59" spans="1:15" x14ac:dyDescent="0.4">
      <c r="A59" s="185"/>
      <c r="B59" s="185"/>
      <c r="C59" s="185"/>
      <c r="D59" s="185"/>
      <c r="E59" s="185"/>
      <c r="F59" s="185"/>
      <c r="G59" s="185"/>
      <c r="H59" s="185"/>
      <c r="I59" s="185"/>
      <c r="J59" s="185"/>
      <c r="K59" s="185"/>
      <c r="L59" s="185"/>
      <c r="M59" s="185"/>
      <c r="N59" s="185"/>
      <c r="O59" s="185"/>
    </row>
    <row r="60" spans="1:15" x14ac:dyDescent="0.4">
      <c r="A60" s="185" t="s">
        <v>450</v>
      </c>
      <c r="B60" s="185" t="s">
        <v>893</v>
      </c>
      <c r="C60" s="185">
        <v>83946</v>
      </c>
      <c r="D60" s="185"/>
      <c r="E60" s="185"/>
      <c r="F60" s="185"/>
      <c r="G60" s="185"/>
      <c r="H60" s="185"/>
      <c r="I60" s="185"/>
      <c r="J60" s="185"/>
      <c r="K60" s="185"/>
      <c r="L60" s="185"/>
      <c r="M60" s="185"/>
      <c r="N60" s="185"/>
      <c r="O60" s="185"/>
    </row>
    <row r="61" spans="1:15" x14ac:dyDescent="0.4">
      <c r="A61" s="185"/>
      <c r="B61" s="185" t="s">
        <v>922</v>
      </c>
      <c r="C61" s="185"/>
      <c r="D61" s="185">
        <v>25000</v>
      </c>
      <c r="E61" s="185">
        <v>30000</v>
      </c>
      <c r="F61" s="185">
        <v>31000</v>
      </c>
      <c r="G61" s="185">
        <v>29000</v>
      </c>
      <c r="H61" s="185">
        <v>27000</v>
      </c>
      <c r="I61" s="185"/>
      <c r="J61" s="181">
        <f>+C60/SUM(D61:H62)*5</f>
        <v>2.7982</v>
      </c>
      <c r="K61" s="185" t="s">
        <v>46</v>
      </c>
      <c r="L61" s="185"/>
      <c r="M61" s="83">
        <f>+SUM(D61:H62,-C60)/5/C60</f>
        <v>0.15737259666928738</v>
      </c>
      <c r="N61" s="185"/>
      <c r="O61" s="185"/>
    </row>
    <row r="62" spans="1:15" x14ac:dyDescent="0.4">
      <c r="A62" s="185"/>
      <c r="B62" s="185" t="s">
        <v>30</v>
      </c>
      <c r="C62" s="185"/>
      <c r="D62" s="185"/>
      <c r="E62" s="185"/>
      <c r="F62" s="185"/>
      <c r="G62" s="185"/>
      <c r="H62" s="185">
        <v>8000</v>
      </c>
      <c r="I62" s="185"/>
      <c r="J62" s="185"/>
      <c r="K62" s="185"/>
      <c r="L62" s="185"/>
      <c r="M62" s="185"/>
      <c r="N62" s="185"/>
      <c r="O62" s="185"/>
    </row>
    <row r="63" spans="1:15" x14ac:dyDescent="0.4">
      <c r="A63" s="185"/>
      <c r="B63" s="185"/>
      <c r="C63" s="185"/>
      <c r="D63" s="185"/>
      <c r="E63" s="185"/>
      <c r="F63" s="185"/>
      <c r="G63" s="185"/>
      <c r="H63" s="185"/>
      <c r="I63" s="185"/>
      <c r="J63" s="185" t="s">
        <v>921</v>
      </c>
      <c r="K63" s="185"/>
      <c r="L63" s="185"/>
      <c r="M63" s="185" t="s">
        <v>920</v>
      </c>
      <c r="N63" s="185"/>
      <c r="O63" s="185"/>
    </row>
    <row r="66" spans="1:19" x14ac:dyDescent="0.4">
      <c r="A66" s="233" t="s">
        <v>919</v>
      </c>
      <c r="B66" s="232"/>
      <c r="C66" s="232"/>
      <c r="D66" s="232"/>
      <c r="E66" s="232"/>
      <c r="F66" s="232"/>
      <c r="G66" s="232"/>
      <c r="H66" s="232"/>
      <c r="I66" s="232"/>
      <c r="J66" s="232"/>
      <c r="K66" s="232"/>
      <c r="L66" s="232"/>
      <c r="M66" s="232"/>
      <c r="N66" s="232"/>
      <c r="O66" s="232"/>
      <c r="P66" s="232"/>
      <c r="Q66" s="232"/>
      <c r="R66" s="232"/>
      <c r="S66" s="231"/>
    </row>
    <row r="67" spans="1:19" x14ac:dyDescent="0.4">
      <c r="A67" s="111" t="s">
        <v>918</v>
      </c>
      <c r="B67" s="230"/>
      <c r="C67" s="230"/>
      <c r="D67" s="230"/>
      <c r="E67" s="230"/>
      <c r="F67" s="230"/>
      <c r="G67" s="230"/>
      <c r="H67" s="230"/>
      <c r="I67" s="230"/>
      <c r="J67" s="230"/>
      <c r="K67" s="230"/>
      <c r="L67" s="230"/>
      <c r="M67" s="230"/>
      <c r="N67" s="230"/>
      <c r="O67" s="230"/>
      <c r="P67" s="230"/>
      <c r="Q67" s="230"/>
      <c r="R67" s="230"/>
      <c r="S67" s="229"/>
    </row>
    <row r="68" spans="1:19" x14ac:dyDescent="0.4">
      <c r="A68" s="228" t="s">
        <v>917</v>
      </c>
      <c r="B68" s="226"/>
      <c r="C68" s="226"/>
      <c r="D68" s="226"/>
      <c r="E68" s="226"/>
      <c r="F68" s="226"/>
      <c r="G68" s="226"/>
      <c r="H68" s="226"/>
      <c r="I68" s="226"/>
      <c r="J68" s="227"/>
      <c r="K68" s="226"/>
      <c r="L68" s="226"/>
      <c r="M68" s="226"/>
      <c r="N68" s="226"/>
      <c r="O68" s="226"/>
      <c r="P68" s="226"/>
      <c r="Q68" s="226"/>
      <c r="R68" s="226"/>
      <c r="S68" s="225"/>
    </row>
    <row r="71" spans="1:19" x14ac:dyDescent="0.4">
      <c r="A71" s="4" t="s">
        <v>843</v>
      </c>
      <c r="C71" s="62" t="s">
        <v>915</v>
      </c>
      <c r="D71" s="51"/>
      <c r="E71" s="51" t="s">
        <v>916</v>
      </c>
      <c r="F71" s="51"/>
    </row>
    <row r="72" spans="1:19" x14ac:dyDescent="0.4">
      <c r="C72" s="61" t="s">
        <v>895</v>
      </c>
      <c r="D72" s="48">
        <v>6000</v>
      </c>
      <c r="E72" s="49" t="s">
        <v>894</v>
      </c>
      <c r="F72" s="50">
        <v>10000</v>
      </c>
    </row>
    <row r="73" spans="1:19" x14ac:dyDescent="0.4">
      <c r="C73" s="65"/>
      <c r="D73" s="51"/>
      <c r="E73" s="52"/>
      <c r="F73" s="53"/>
    </row>
    <row r="74" spans="1:19" x14ac:dyDescent="0.4">
      <c r="C74" s="67" t="s">
        <v>37</v>
      </c>
      <c r="D74" s="68">
        <v>0</v>
      </c>
      <c r="E74" s="52"/>
      <c r="F74" s="53"/>
    </row>
    <row r="75" spans="1:19" x14ac:dyDescent="0.4">
      <c r="C75" s="69"/>
      <c r="D75" s="70"/>
      <c r="E75" s="52"/>
      <c r="F75" s="53"/>
    </row>
    <row r="76" spans="1:19" x14ac:dyDescent="0.4">
      <c r="C76" s="236" t="s">
        <v>53</v>
      </c>
      <c r="D76" s="71">
        <f>+F72-SUM(F56,D72)</f>
        <v>4000</v>
      </c>
      <c r="E76" s="52"/>
      <c r="F76" s="53"/>
    </row>
    <row r="77" spans="1:19" x14ac:dyDescent="0.4">
      <c r="C77" s="236" t="s">
        <v>55</v>
      </c>
      <c r="D77" s="51" t="s">
        <v>54</v>
      </c>
      <c r="E77" s="52"/>
      <c r="F77" s="53"/>
    </row>
    <row r="78" spans="1:19" x14ac:dyDescent="0.4">
      <c r="C78" s="69">
        <f>+D76*0.6</f>
        <v>2400</v>
      </c>
      <c r="D78" s="235">
        <f>+D76*0.4</f>
        <v>1600</v>
      </c>
      <c r="E78" s="55"/>
      <c r="F78" s="54"/>
    </row>
    <row r="79" spans="1:19" x14ac:dyDescent="0.4">
      <c r="B79" s="4" t="s">
        <v>892</v>
      </c>
      <c r="C79" s="82">
        <f>+C78</f>
        <v>2400</v>
      </c>
    </row>
    <row r="82" spans="1:19" x14ac:dyDescent="0.4">
      <c r="A82" s="4" t="s">
        <v>829</v>
      </c>
      <c r="C82" s="62" t="s">
        <v>915</v>
      </c>
      <c r="D82" s="51"/>
      <c r="E82" s="51" t="s">
        <v>8</v>
      </c>
      <c r="F82" s="51"/>
    </row>
    <row r="83" spans="1:19" x14ac:dyDescent="0.4">
      <c r="C83" s="61" t="s">
        <v>895</v>
      </c>
      <c r="D83" s="48">
        <v>6000</v>
      </c>
      <c r="E83" s="49" t="s">
        <v>894</v>
      </c>
      <c r="F83" s="50">
        <v>10000</v>
      </c>
    </row>
    <row r="84" spans="1:19" x14ac:dyDescent="0.4">
      <c r="C84" s="65"/>
      <c r="D84" s="51"/>
      <c r="E84" s="52"/>
      <c r="F84" s="53"/>
    </row>
    <row r="85" spans="1:19" x14ac:dyDescent="0.4">
      <c r="C85" s="67" t="s">
        <v>37</v>
      </c>
      <c r="D85" s="68">
        <v>1000</v>
      </c>
      <c r="E85" s="52"/>
      <c r="F85" s="53"/>
    </row>
    <row r="86" spans="1:19" x14ac:dyDescent="0.4">
      <c r="C86" s="69"/>
      <c r="D86" s="70"/>
      <c r="E86" s="52"/>
      <c r="F86" s="53"/>
    </row>
    <row r="87" spans="1:19" x14ac:dyDescent="0.4">
      <c r="C87" s="236" t="s">
        <v>53</v>
      </c>
      <c r="D87" s="71">
        <f>+F83-D83-D85</f>
        <v>3000</v>
      </c>
      <c r="E87" s="52"/>
      <c r="F87" s="53"/>
    </row>
    <row r="88" spans="1:19" x14ac:dyDescent="0.4">
      <c r="C88" s="236" t="s">
        <v>55</v>
      </c>
      <c r="D88" s="51" t="s">
        <v>54</v>
      </c>
      <c r="E88" s="52"/>
      <c r="F88" s="53"/>
    </row>
    <row r="89" spans="1:19" x14ac:dyDescent="0.4">
      <c r="C89" s="69">
        <f>+D87*0.6</f>
        <v>1800</v>
      </c>
      <c r="D89" s="235">
        <f>+D87*0.4</f>
        <v>1200</v>
      </c>
      <c r="E89" s="55"/>
      <c r="F89" s="54"/>
    </row>
    <row r="90" spans="1:19" x14ac:dyDescent="0.4">
      <c r="B90" s="4" t="s">
        <v>892</v>
      </c>
      <c r="C90" s="82">
        <f>+C89+D85</f>
        <v>2800</v>
      </c>
      <c r="D90" s="4" t="s">
        <v>914</v>
      </c>
    </row>
    <row r="91" spans="1:19" x14ac:dyDescent="0.4">
      <c r="D91" s="4" t="s">
        <v>913</v>
      </c>
    </row>
    <row r="93" spans="1:19" x14ac:dyDescent="0.4">
      <c r="A93" s="233" t="s">
        <v>912</v>
      </c>
      <c r="B93" s="232"/>
      <c r="C93" s="232"/>
      <c r="D93" s="232"/>
      <c r="E93" s="232"/>
      <c r="F93" s="232"/>
      <c r="G93" s="232"/>
      <c r="H93" s="232"/>
      <c r="I93" s="232"/>
      <c r="J93" s="232"/>
      <c r="K93" s="232"/>
      <c r="L93" s="232"/>
      <c r="M93" s="232"/>
      <c r="N93" s="232"/>
      <c r="O93" s="232"/>
      <c r="P93" s="232"/>
      <c r="Q93" s="232"/>
      <c r="R93" s="232"/>
      <c r="S93" s="231"/>
    </row>
    <row r="94" spans="1:19" x14ac:dyDescent="0.4">
      <c r="A94" s="111" t="s">
        <v>911</v>
      </c>
      <c r="B94" s="230"/>
      <c r="C94" s="230"/>
      <c r="D94" s="230"/>
      <c r="E94" s="230"/>
      <c r="F94" s="230"/>
      <c r="G94" s="230"/>
      <c r="H94" s="230"/>
      <c r="I94" s="230"/>
      <c r="J94" s="230"/>
      <c r="K94" s="230"/>
      <c r="L94" s="230"/>
      <c r="M94" s="230"/>
      <c r="N94" s="230"/>
      <c r="O94" s="230"/>
      <c r="P94" s="230"/>
      <c r="Q94" s="230"/>
      <c r="R94" s="230"/>
      <c r="S94" s="229"/>
    </row>
    <row r="95" spans="1:19" x14ac:dyDescent="0.4">
      <c r="A95" s="228" t="s">
        <v>910</v>
      </c>
      <c r="B95" s="226"/>
      <c r="C95" s="226"/>
      <c r="D95" s="226"/>
      <c r="E95" s="226"/>
      <c r="F95" s="226"/>
      <c r="G95" s="226"/>
      <c r="H95" s="226"/>
      <c r="I95" s="226"/>
      <c r="J95" s="227"/>
      <c r="K95" s="226"/>
      <c r="L95" s="226"/>
      <c r="M95" s="226"/>
      <c r="N95" s="226"/>
      <c r="O95" s="226"/>
      <c r="P95" s="226"/>
      <c r="Q95" s="226"/>
      <c r="R95" s="226"/>
      <c r="S95" s="225"/>
    </row>
    <row r="98" spans="1:13" x14ac:dyDescent="0.4">
      <c r="C98" s="24" t="s">
        <v>909</v>
      </c>
      <c r="D98" s="25" t="s">
        <v>908</v>
      </c>
      <c r="E98" s="25" t="s">
        <v>907</v>
      </c>
      <c r="F98" s="25" t="s">
        <v>62</v>
      </c>
      <c r="G98" s="25" t="s">
        <v>63</v>
      </c>
      <c r="H98" s="25" t="s">
        <v>64</v>
      </c>
      <c r="J98" s="4" t="s">
        <v>28</v>
      </c>
    </row>
    <row r="99" spans="1:13" x14ac:dyDescent="0.4">
      <c r="C99" s="26"/>
      <c r="D99" s="27"/>
      <c r="E99" s="27"/>
      <c r="F99" s="27"/>
      <c r="G99" s="27"/>
      <c r="H99" s="30"/>
      <c r="J99" s="4" t="s">
        <v>877</v>
      </c>
      <c r="K99" s="4">
        <v>20000</v>
      </c>
    </row>
    <row r="100" spans="1:13" x14ac:dyDescent="0.4">
      <c r="B100" s="4" t="s">
        <v>893</v>
      </c>
      <c r="C100" s="4">
        <v>20000</v>
      </c>
      <c r="J100" s="4" t="s">
        <v>31</v>
      </c>
      <c r="K100" s="4">
        <v>5</v>
      </c>
    </row>
    <row r="101" spans="1:13" x14ac:dyDescent="0.4">
      <c r="J101" s="4" t="s">
        <v>30</v>
      </c>
      <c r="K101" s="4">
        <f>+K99*0.1</f>
        <v>2000</v>
      </c>
    </row>
    <row r="102" spans="1:13" x14ac:dyDescent="0.4">
      <c r="A102" s="4" t="s">
        <v>906</v>
      </c>
      <c r="J102" s="4" t="s">
        <v>32</v>
      </c>
      <c r="K102" s="4">
        <f>+(K99-K101)/K100</f>
        <v>3600</v>
      </c>
    </row>
    <row r="103" spans="1:13" x14ac:dyDescent="0.4">
      <c r="B103" s="4" t="s">
        <v>893</v>
      </c>
      <c r="C103" s="4">
        <v>20000</v>
      </c>
    </row>
    <row r="104" spans="1:13" x14ac:dyDescent="0.4">
      <c r="B104" s="4" t="s">
        <v>892</v>
      </c>
      <c r="D104" s="237">
        <f>+K114+K116</f>
        <v>7000</v>
      </c>
      <c r="E104" s="237">
        <f>+D104</f>
        <v>7000</v>
      </c>
      <c r="F104" s="237">
        <f>+E104</f>
        <v>7000</v>
      </c>
      <c r="G104" s="237">
        <f>+F104</f>
        <v>7000</v>
      </c>
      <c r="H104" s="237">
        <f>+G104</f>
        <v>7000</v>
      </c>
      <c r="J104" s="4" t="s">
        <v>905</v>
      </c>
    </row>
    <row r="105" spans="1:13" x14ac:dyDescent="0.4">
      <c r="B105" s="4" t="s">
        <v>71</v>
      </c>
      <c r="H105" s="4">
        <v>1200</v>
      </c>
      <c r="K105" s="4" t="s">
        <v>904</v>
      </c>
      <c r="L105" s="4" t="s">
        <v>903</v>
      </c>
    </row>
    <row r="106" spans="1:13" x14ac:dyDescent="0.4">
      <c r="B106" s="4" t="s">
        <v>165</v>
      </c>
      <c r="H106" s="237"/>
      <c r="J106" s="4" t="s">
        <v>400</v>
      </c>
      <c r="K106" s="4">
        <v>42000</v>
      </c>
      <c r="L106" s="4">
        <v>65000</v>
      </c>
      <c r="M106" s="4" t="s">
        <v>902</v>
      </c>
    </row>
    <row r="107" spans="1:13" x14ac:dyDescent="0.4">
      <c r="B107" s="4" t="s">
        <v>863</v>
      </c>
      <c r="C107" s="82">
        <f>-C103</f>
        <v>-20000</v>
      </c>
      <c r="D107" s="82">
        <f>+SUM(D104:D106)</f>
        <v>7000</v>
      </c>
      <c r="E107" s="82">
        <f>+SUM(E104:E106)</f>
        <v>7000</v>
      </c>
      <c r="F107" s="82">
        <f>+SUM(F104:F106)</f>
        <v>7000</v>
      </c>
      <c r="G107" s="82">
        <f>+SUM(G104:G106)</f>
        <v>7000</v>
      </c>
      <c r="H107" s="82">
        <f>+SUM(H104:H106)</f>
        <v>8200</v>
      </c>
      <c r="J107" s="4" t="s">
        <v>177</v>
      </c>
      <c r="K107" s="4">
        <v>18000</v>
      </c>
      <c r="L107" s="4">
        <v>34000</v>
      </c>
    </row>
    <row r="108" spans="1:13" x14ac:dyDescent="0.4">
      <c r="B108" s="4" t="s">
        <v>861</v>
      </c>
      <c r="C108" s="4">
        <f>-C103</f>
        <v>-20000</v>
      </c>
      <c r="D108" s="4">
        <f>+D107*D$122</f>
        <v>6666.8</v>
      </c>
      <c r="E108" s="4">
        <f>+E107*E$122</f>
        <v>6349</v>
      </c>
      <c r="F108" s="4">
        <f>+F107*F$122</f>
        <v>6046.6</v>
      </c>
      <c r="G108" s="4">
        <f>+G107*G$122</f>
        <v>5758.9</v>
      </c>
      <c r="H108" s="4">
        <f>+H107*H$122</f>
        <v>6424.7</v>
      </c>
      <c r="J108" s="4" t="s">
        <v>37</v>
      </c>
      <c r="K108" s="4">
        <v>7000</v>
      </c>
      <c r="L108" s="4" t="s">
        <v>901</v>
      </c>
    </row>
    <row r="109" spans="1:13" x14ac:dyDescent="0.4">
      <c r="B109" s="4" t="s">
        <v>900</v>
      </c>
      <c r="C109" s="238">
        <f>+SUM(C108:H108)</f>
        <v>11246</v>
      </c>
    </row>
    <row r="110" spans="1:13" x14ac:dyDescent="0.4">
      <c r="J110" s="4" t="s">
        <v>899</v>
      </c>
    </row>
    <row r="111" spans="1:13" x14ac:dyDescent="0.4">
      <c r="J111" s="62" t="s">
        <v>898</v>
      </c>
      <c r="K111" s="51"/>
      <c r="L111" s="51" t="s">
        <v>897</v>
      </c>
      <c r="M111" s="51"/>
    </row>
    <row r="112" spans="1:13" x14ac:dyDescent="0.4">
      <c r="A112" s="4" t="s">
        <v>896</v>
      </c>
      <c r="J112" s="61" t="s">
        <v>895</v>
      </c>
      <c r="K112" s="48">
        <f>+L107-K107</f>
        <v>16000</v>
      </c>
      <c r="L112" s="49" t="s">
        <v>894</v>
      </c>
      <c r="M112" s="50">
        <f>+L106-K106</f>
        <v>23000</v>
      </c>
    </row>
    <row r="113" spans="1:19" x14ac:dyDescent="0.4">
      <c r="B113" s="4" t="s">
        <v>893</v>
      </c>
      <c r="C113" s="4">
        <v>20000</v>
      </c>
      <c r="J113" s="65"/>
      <c r="K113" s="51"/>
      <c r="L113" s="52"/>
      <c r="M113" s="53"/>
    </row>
    <row r="114" spans="1:19" x14ac:dyDescent="0.4">
      <c r="B114" s="4" t="s">
        <v>892</v>
      </c>
      <c r="D114" s="237">
        <f>+J119</f>
        <v>5640</v>
      </c>
      <c r="E114" s="237">
        <f>+D114</f>
        <v>5640</v>
      </c>
      <c r="F114" s="237">
        <f>+E114</f>
        <v>5640</v>
      </c>
      <c r="G114" s="237">
        <f>+F114</f>
        <v>5640</v>
      </c>
      <c r="H114" s="237">
        <f>+G114</f>
        <v>5640</v>
      </c>
      <c r="J114" s="67" t="s">
        <v>37</v>
      </c>
      <c r="K114" s="68">
        <f>+K102</f>
        <v>3600</v>
      </c>
      <c r="L114" s="52"/>
      <c r="M114" s="53"/>
    </row>
    <row r="115" spans="1:19" x14ac:dyDescent="0.4">
      <c r="B115" s="4" t="s">
        <v>71</v>
      </c>
      <c r="H115" s="4">
        <v>1200</v>
      </c>
      <c r="J115" s="69"/>
      <c r="K115" s="70"/>
      <c r="L115" s="52"/>
      <c r="M115" s="53"/>
    </row>
    <row r="116" spans="1:19" x14ac:dyDescent="0.4">
      <c r="B116" s="4" t="s">
        <v>165</v>
      </c>
      <c r="H116" s="237">
        <f>+(K101-H115)*0.4</f>
        <v>320</v>
      </c>
      <c r="J116" s="236" t="s">
        <v>53</v>
      </c>
      <c r="K116" s="71">
        <f>+M112-K112-K114</f>
        <v>3400</v>
      </c>
      <c r="L116" s="52"/>
      <c r="M116" s="53"/>
    </row>
    <row r="117" spans="1:19" x14ac:dyDescent="0.4">
      <c r="B117" s="4" t="s">
        <v>863</v>
      </c>
      <c r="C117" s="82">
        <f>-C113</f>
        <v>-20000</v>
      </c>
      <c r="D117" s="82">
        <f>+SUM(D114:D116)</f>
        <v>5640</v>
      </c>
      <c r="E117" s="82">
        <f>+SUM(E114:E116)</f>
        <v>5640</v>
      </c>
      <c r="F117" s="82">
        <f>+SUM(F114:F116)</f>
        <v>5640</v>
      </c>
      <c r="G117" s="82">
        <f>+SUM(G114:G116)</f>
        <v>5640</v>
      </c>
      <c r="H117" s="82">
        <f>+SUM(H114:H116)</f>
        <v>7160</v>
      </c>
      <c r="J117" s="236" t="s">
        <v>55</v>
      </c>
      <c r="K117" s="51" t="s">
        <v>54</v>
      </c>
      <c r="L117" s="52"/>
      <c r="M117" s="53"/>
    </row>
    <row r="118" spans="1:19" x14ac:dyDescent="0.4">
      <c r="B118" s="4" t="s">
        <v>861</v>
      </c>
      <c r="C118" s="4">
        <f>-C113</f>
        <v>-20000</v>
      </c>
      <c r="D118" s="4">
        <f>+SUM(D114:D116)*D$122</f>
        <v>5371.5360000000001</v>
      </c>
      <c r="E118" s="4">
        <f>+SUM(E114:E116)*E$122</f>
        <v>5115.4800000000005</v>
      </c>
      <c r="F118" s="4">
        <f>+SUM(F114:F116)*F$122</f>
        <v>4871.8320000000003</v>
      </c>
      <c r="G118" s="4">
        <f>+SUM(G114:G116)*G$122</f>
        <v>4640.0280000000002</v>
      </c>
      <c r="H118" s="4">
        <f>+SUM(H114:H116)*H$122</f>
        <v>5609.86</v>
      </c>
      <c r="J118" s="69">
        <f>+K116*0.6</f>
        <v>2040</v>
      </c>
      <c r="K118" s="235">
        <f>+K116*0.4</f>
        <v>1360</v>
      </c>
      <c r="L118" s="55"/>
      <c r="M118" s="54"/>
    </row>
    <row r="119" spans="1:19" x14ac:dyDescent="0.4">
      <c r="A119" s="4" t="s">
        <v>822</v>
      </c>
      <c r="B119" s="4" t="s">
        <v>891</v>
      </c>
      <c r="C119" s="234">
        <f>+SUM(C118:H118)</f>
        <v>5608.7359999999999</v>
      </c>
      <c r="J119" s="136">
        <f>+J118+K114</f>
        <v>5640</v>
      </c>
    </row>
    <row r="122" spans="1:19" x14ac:dyDescent="0.4">
      <c r="B122" s="4" t="s">
        <v>1</v>
      </c>
      <c r="D122" s="119">
        <v>0.95240000000000002</v>
      </c>
      <c r="E122" s="119">
        <v>0.90700000000000003</v>
      </c>
      <c r="F122" s="119">
        <v>0.86380000000000001</v>
      </c>
      <c r="G122" s="119">
        <v>0.82269999999999999</v>
      </c>
      <c r="H122" s="119">
        <v>0.78349999999999997</v>
      </c>
    </row>
    <row r="125" spans="1:19" x14ac:dyDescent="0.4">
      <c r="A125" s="233" t="s">
        <v>890</v>
      </c>
      <c r="B125" s="232"/>
      <c r="C125" s="232"/>
      <c r="D125" s="232"/>
      <c r="E125" s="232"/>
      <c r="F125" s="232"/>
      <c r="G125" s="232"/>
      <c r="H125" s="232"/>
      <c r="I125" s="232"/>
      <c r="J125" s="232"/>
      <c r="K125" s="232"/>
      <c r="L125" s="232"/>
      <c r="M125" s="232"/>
      <c r="N125" s="232"/>
      <c r="O125" s="232"/>
      <c r="P125" s="232"/>
      <c r="Q125" s="232"/>
      <c r="R125" s="232"/>
      <c r="S125" s="231"/>
    </row>
    <row r="126" spans="1:19" x14ac:dyDescent="0.4">
      <c r="A126" s="111" t="s">
        <v>889</v>
      </c>
      <c r="B126" s="230"/>
      <c r="C126" s="230"/>
      <c r="D126" s="230"/>
      <c r="E126" s="230"/>
      <c r="F126" s="230"/>
      <c r="G126" s="230"/>
      <c r="H126" s="230"/>
      <c r="I126" s="230"/>
      <c r="J126" s="230"/>
      <c r="K126" s="230"/>
      <c r="L126" s="230"/>
      <c r="M126" s="230"/>
      <c r="N126" s="230"/>
      <c r="O126" s="230"/>
      <c r="P126" s="230"/>
      <c r="Q126" s="230"/>
      <c r="R126" s="230"/>
      <c r="S126" s="229"/>
    </row>
    <row r="127" spans="1:19" x14ac:dyDescent="0.4">
      <c r="A127" s="228" t="s">
        <v>888</v>
      </c>
      <c r="B127" s="226"/>
      <c r="C127" s="226"/>
      <c r="D127" s="226"/>
      <c r="E127" s="226"/>
      <c r="F127" s="226"/>
      <c r="G127" s="226"/>
      <c r="H127" s="226"/>
      <c r="I127" s="226"/>
      <c r="J127" s="227"/>
      <c r="K127" s="226"/>
      <c r="L127" s="226"/>
      <c r="M127" s="226"/>
      <c r="N127" s="226"/>
      <c r="O127" s="226"/>
      <c r="P127" s="226"/>
      <c r="Q127" s="226"/>
      <c r="R127" s="226"/>
      <c r="S127" s="225"/>
    </row>
    <row r="129" spans="2:12" x14ac:dyDescent="0.4">
      <c r="B129" s="4" t="s">
        <v>887</v>
      </c>
    </row>
    <row r="131" spans="2:12" x14ac:dyDescent="0.4">
      <c r="B131" s="4" t="s">
        <v>886</v>
      </c>
    </row>
    <row r="132" spans="2:12" x14ac:dyDescent="0.4">
      <c r="B132" s="4" t="s">
        <v>885</v>
      </c>
    </row>
    <row r="133" spans="2:12" x14ac:dyDescent="0.4">
      <c r="B133" s="183" t="s">
        <v>884</v>
      </c>
    </row>
    <row r="134" spans="2:12" x14ac:dyDescent="0.4">
      <c r="B134" s="4" t="s">
        <v>883</v>
      </c>
    </row>
    <row r="136" spans="2:12" x14ac:dyDescent="0.4">
      <c r="C136" s="24" t="s">
        <v>882</v>
      </c>
      <c r="D136" s="25" t="s">
        <v>881</v>
      </c>
      <c r="E136" s="25" t="s">
        <v>880</v>
      </c>
      <c r="F136" s="25" t="s">
        <v>62</v>
      </c>
      <c r="I136" s="4" t="s">
        <v>28</v>
      </c>
    </row>
    <row r="137" spans="2:12" x14ac:dyDescent="0.4">
      <c r="C137" s="26"/>
      <c r="D137" s="27"/>
      <c r="E137" s="27"/>
      <c r="F137" s="27"/>
      <c r="J137" s="4" t="s">
        <v>69</v>
      </c>
      <c r="K137" s="4" t="s">
        <v>51</v>
      </c>
      <c r="L137" s="4" t="s">
        <v>52</v>
      </c>
    </row>
    <row r="138" spans="2:12" x14ac:dyDescent="0.4">
      <c r="B138" s="4" t="s">
        <v>879</v>
      </c>
      <c r="C138" s="4">
        <f>+SUM(J138:L138)</f>
        <v>8000</v>
      </c>
      <c r="G138" s="4" t="s">
        <v>878</v>
      </c>
      <c r="I138" s="4" t="s">
        <v>877</v>
      </c>
      <c r="J138" s="4">
        <v>1000</v>
      </c>
      <c r="K138" s="4">
        <v>3000</v>
      </c>
      <c r="L138" s="4">
        <v>4000</v>
      </c>
    </row>
    <row r="139" spans="2:12" x14ac:dyDescent="0.4">
      <c r="B139" s="4" t="s">
        <v>876</v>
      </c>
      <c r="D139" s="4">
        <f>+(D156-D157)*0.6</f>
        <v>2070</v>
      </c>
      <c r="E139" s="4">
        <f>+(E156-E157)*0.6</f>
        <v>2448</v>
      </c>
      <c r="F139" s="136">
        <f>+(F156-F157)*0.6</f>
        <v>1680</v>
      </c>
      <c r="G139" s="4" t="s">
        <v>875</v>
      </c>
      <c r="I139" s="4" t="s">
        <v>205</v>
      </c>
      <c r="J139" s="4" t="s">
        <v>874</v>
      </c>
      <c r="K139" s="4">
        <v>10</v>
      </c>
      <c r="L139" s="4">
        <v>5</v>
      </c>
    </row>
    <row r="140" spans="2:12" x14ac:dyDescent="0.4">
      <c r="B140" s="4" t="s">
        <v>873</v>
      </c>
      <c r="D140" s="4">
        <f>+SUM(K141:L141)*0.4</f>
        <v>396</v>
      </c>
      <c r="E140" s="4">
        <f>+D140</f>
        <v>396</v>
      </c>
      <c r="F140" s="136">
        <f>+E140</f>
        <v>396</v>
      </c>
      <c r="G140" s="4" t="s">
        <v>872</v>
      </c>
      <c r="I140" s="4" t="s">
        <v>30</v>
      </c>
      <c r="J140" s="4">
        <f>+J138</f>
        <v>1000</v>
      </c>
      <c r="K140" s="4">
        <f>+K138*0.1</f>
        <v>300</v>
      </c>
      <c r="L140" s="4">
        <f>+L138*0.1</f>
        <v>400</v>
      </c>
    </row>
    <row r="141" spans="2:12" x14ac:dyDescent="0.4">
      <c r="B141" s="4" t="s">
        <v>871</v>
      </c>
      <c r="I141" s="4" t="s">
        <v>32</v>
      </c>
      <c r="J141" s="4" t="s">
        <v>870</v>
      </c>
      <c r="K141" s="4">
        <f>+(K138-K140)/10</f>
        <v>270</v>
      </c>
      <c r="L141" s="4">
        <f>+(L138-L140)/5</f>
        <v>720</v>
      </c>
    </row>
    <row r="142" spans="2:12" x14ac:dyDescent="0.4">
      <c r="B142" s="118" t="s">
        <v>69</v>
      </c>
      <c r="F142" s="4">
        <f>+J144-J145*0.4</f>
        <v>1060</v>
      </c>
      <c r="G142" s="4" t="s">
        <v>869</v>
      </c>
    </row>
    <row r="143" spans="2:12" x14ac:dyDescent="0.4">
      <c r="B143" s="118" t="s">
        <v>51</v>
      </c>
      <c r="F143" s="4">
        <f>-K145*0.4</f>
        <v>876</v>
      </c>
      <c r="G143" s="4" t="s">
        <v>868</v>
      </c>
      <c r="I143" s="4" t="s">
        <v>867</v>
      </c>
      <c r="J143" s="4">
        <f>+J140</f>
        <v>1000</v>
      </c>
      <c r="K143" s="4">
        <f>+K138-K141*3</f>
        <v>2190</v>
      </c>
      <c r="L143" s="4">
        <f>+L138-L141*3</f>
        <v>1840</v>
      </c>
    </row>
    <row r="144" spans="2:12" x14ac:dyDescent="0.4">
      <c r="B144" s="118" t="s">
        <v>52</v>
      </c>
      <c r="F144" s="4">
        <f>+L144</f>
        <v>1840</v>
      </c>
      <c r="G144" s="4" t="s">
        <v>866</v>
      </c>
      <c r="I144" s="4" t="s">
        <v>71</v>
      </c>
      <c r="J144" s="4">
        <f>+J143*1.1</f>
        <v>1100</v>
      </c>
      <c r="K144" s="4">
        <v>0</v>
      </c>
      <c r="L144" s="4">
        <f>+L143</f>
        <v>1840</v>
      </c>
    </row>
    <row r="145" spans="1:12" x14ac:dyDescent="0.4">
      <c r="B145" s="4" t="s">
        <v>865</v>
      </c>
      <c r="C145" s="4">
        <f>-C164</f>
        <v>-1400</v>
      </c>
      <c r="D145" s="4">
        <f>-D164+C164</f>
        <v>-280</v>
      </c>
      <c r="E145" s="4">
        <f>-E164+D164</f>
        <v>140</v>
      </c>
      <c r="F145" s="136">
        <f>-F164+E164</f>
        <v>1540</v>
      </c>
      <c r="G145" s="4" t="s">
        <v>864</v>
      </c>
      <c r="I145" s="4" t="s">
        <v>72</v>
      </c>
      <c r="J145" s="4">
        <f>+J144-J143</f>
        <v>100</v>
      </c>
      <c r="K145" s="4">
        <f>+K144-K143</f>
        <v>-2190</v>
      </c>
      <c r="L145" s="4">
        <f>+L144-L143</f>
        <v>0</v>
      </c>
    </row>
    <row r="146" spans="1:12" x14ac:dyDescent="0.4">
      <c r="B146" s="4" t="s">
        <v>863</v>
      </c>
      <c r="C146" s="4">
        <f>-C138+C145</f>
        <v>-9400</v>
      </c>
      <c r="D146" s="4">
        <f>+SUM(D139:D145)</f>
        <v>2186</v>
      </c>
      <c r="E146" s="4">
        <f>+SUM(E139:E145)</f>
        <v>2984</v>
      </c>
      <c r="F146" s="4">
        <f>+SUM(F139:F145)</f>
        <v>7392</v>
      </c>
    </row>
    <row r="147" spans="1:12" x14ac:dyDescent="0.4">
      <c r="A147" s="4" t="s">
        <v>843</v>
      </c>
      <c r="B147" s="4" t="s">
        <v>99</v>
      </c>
      <c r="C147" s="83">
        <f>+IRR(C146:F146)</f>
        <v>0.12971475744574024</v>
      </c>
      <c r="D147" s="4" t="s">
        <v>862</v>
      </c>
    </row>
    <row r="148" spans="1:12" x14ac:dyDescent="0.4">
      <c r="B148" s="4" t="s">
        <v>861</v>
      </c>
      <c r="C148" s="4">
        <f>+C146*C152</f>
        <v>-9400</v>
      </c>
      <c r="D148" s="4">
        <f>+D146*D152</f>
        <v>2024.0174</v>
      </c>
      <c r="E148" s="4">
        <f>+E146*E152</f>
        <v>2558.1831999999999</v>
      </c>
      <c r="F148" s="4">
        <f>+F146*F152</f>
        <v>5867.7695999999996</v>
      </c>
    </row>
    <row r="149" spans="1:12" x14ac:dyDescent="0.4">
      <c r="A149" s="4" t="s">
        <v>829</v>
      </c>
      <c r="B149" s="4" t="s">
        <v>860</v>
      </c>
      <c r="C149" s="82">
        <f>+SUM(C148:F148)</f>
        <v>1049.9701999999997</v>
      </c>
      <c r="D149" s="4" t="s">
        <v>859</v>
      </c>
    </row>
    <row r="152" spans="1:12" x14ac:dyDescent="0.4">
      <c r="B152" s="4" t="s">
        <v>1</v>
      </c>
      <c r="C152" s="4">
        <v>1</v>
      </c>
      <c r="D152" s="28">
        <v>0.92589999999999995</v>
      </c>
      <c r="E152" s="28">
        <v>0.85729999999999995</v>
      </c>
      <c r="F152" s="28">
        <v>0.79379999999999995</v>
      </c>
    </row>
    <row r="154" spans="1:12" x14ac:dyDescent="0.4">
      <c r="A154" s="224" t="s">
        <v>858</v>
      </c>
      <c r="B154" s="223" t="s">
        <v>857</v>
      </c>
      <c r="C154" s="222"/>
      <c r="D154" s="222"/>
      <c r="E154" s="222"/>
      <c r="F154" s="222"/>
      <c r="G154" s="221"/>
    </row>
    <row r="155" spans="1:12" x14ac:dyDescent="0.4">
      <c r="A155" s="220"/>
      <c r="B155" s="93"/>
      <c r="C155" s="93"/>
      <c r="D155" s="93"/>
      <c r="E155" s="93"/>
      <c r="F155" s="93"/>
      <c r="G155" s="218"/>
    </row>
    <row r="156" spans="1:12" x14ac:dyDescent="0.4">
      <c r="A156" s="220"/>
      <c r="B156" s="93" t="s">
        <v>400</v>
      </c>
      <c r="C156" s="93"/>
      <c r="D156" s="93">
        <v>20000</v>
      </c>
      <c r="E156" s="93">
        <v>24000</v>
      </c>
      <c r="F156" s="93">
        <v>22000</v>
      </c>
      <c r="G156" s="218"/>
    </row>
    <row r="157" spans="1:12" x14ac:dyDescent="0.4">
      <c r="A157" s="220"/>
      <c r="B157" s="93" t="s">
        <v>177</v>
      </c>
      <c r="C157" s="93"/>
      <c r="D157" s="93">
        <v>16550</v>
      </c>
      <c r="E157" s="93">
        <v>19920</v>
      </c>
      <c r="F157" s="93">
        <v>19200</v>
      </c>
      <c r="G157" s="218"/>
    </row>
    <row r="158" spans="1:12" x14ac:dyDescent="0.4">
      <c r="A158" s="220"/>
      <c r="B158" s="93"/>
      <c r="C158" s="93"/>
      <c r="D158" s="93"/>
      <c r="E158" s="93"/>
      <c r="F158" s="93"/>
      <c r="G158" s="218"/>
    </row>
    <row r="159" spans="1:12" x14ac:dyDescent="0.4">
      <c r="A159" s="220"/>
      <c r="B159" s="93" t="s">
        <v>856</v>
      </c>
      <c r="C159" s="93"/>
      <c r="D159" s="93"/>
      <c r="E159" s="93"/>
      <c r="F159" s="93"/>
      <c r="G159" s="218"/>
    </row>
    <row r="160" spans="1:12" x14ac:dyDescent="0.4">
      <c r="A160" s="220"/>
      <c r="B160" s="93"/>
      <c r="C160" s="93"/>
      <c r="D160" s="93"/>
      <c r="E160" s="93"/>
      <c r="F160" s="93"/>
      <c r="G160" s="218"/>
    </row>
    <row r="161" spans="1:10" x14ac:dyDescent="0.4">
      <c r="A161" s="220"/>
      <c r="B161" s="93" t="s">
        <v>65</v>
      </c>
      <c r="C161" s="93">
        <f>+D$156*0.1</f>
        <v>2000</v>
      </c>
      <c r="D161" s="93">
        <f>+E$156*0.1</f>
        <v>2400</v>
      </c>
      <c r="E161" s="93">
        <f>+F$156*0.1</f>
        <v>2200</v>
      </c>
      <c r="F161" s="93">
        <f>+G$156*0.1</f>
        <v>0</v>
      </c>
      <c r="G161" s="218"/>
    </row>
    <row r="162" spans="1:10" x14ac:dyDescent="0.4">
      <c r="A162" s="220"/>
      <c r="B162" s="93" t="s">
        <v>66</v>
      </c>
      <c r="C162" s="93">
        <f>+D$156*0.05</f>
        <v>1000</v>
      </c>
      <c r="D162" s="93">
        <f>+E$156*0.05</f>
        <v>1200</v>
      </c>
      <c r="E162" s="93">
        <f>+F$156*0.05</f>
        <v>1100</v>
      </c>
      <c r="F162" s="93">
        <f>+G$156*0.05</f>
        <v>0</v>
      </c>
      <c r="G162" s="218"/>
    </row>
    <row r="163" spans="1:10" x14ac:dyDescent="0.4">
      <c r="A163" s="220"/>
      <c r="B163" s="93" t="s">
        <v>67</v>
      </c>
      <c r="C163" s="93">
        <f>-D$156*0.08</f>
        <v>-1600</v>
      </c>
      <c r="D163" s="93">
        <f>-E$156*0.08</f>
        <v>-1920</v>
      </c>
      <c r="E163" s="93">
        <f>-F$156*0.08</f>
        <v>-1760</v>
      </c>
      <c r="F163" s="93">
        <f>-G$156*0.08</f>
        <v>0</v>
      </c>
      <c r="G163" s="218"/>
    </row>
    <row r="164" spans="1:10" ht="16.8" thickBot="1" x14ac:dyDescent="0.45">
      <c r="A164" s="220"/>
      <c r="B164" s="93" t="s">
        <v>855</v>
      </c>
      <c r="C164" s="219">
        <f>+SUM(C161:C163)</f>
        <v>1400</v>
      </c>
      <c r="D164" s="219">
        <f>+SUM(D161:D163)</f>
        <v>1680</v>
      </c>
      <c r="E164" s="219">
        <f>+SUM(E161:E163)</f>
        <v>1540</v>
      </c>
      <c r="F164" s="219">
        <f>+SUM(F161:F163)</f>
        <v>0</v>
      </c>
      <c r="G164" s="218"/>
    </row>
    <row r="165" spans="1:10" ht="16.8" thickTop="1" x14ac:dyDescent="0.4">
      <c r="A165" s="217"/>
      <c r="B165" s="216"/>
      <c r="C165" s="216"/>
      <c r="D165" s="216"/>
      <c r="E165" s="216"/>
      <c r="F165" s="216"/>
      <c r="G165" s="215"/>
    </row>
    <row r="167" spans="1:10" x14ac:dyDescent="0.4">
      <c r="B167" s="4" t="s">
        <v>854</v>
      </c>
    </row>
    <row r="168" spans="1:10" x14ac:dyDescent="0.4">
      <c r="B168" s="4" t="s">
        <v>853</v>
      </c>
    </row>
    <row r="170" spans="1:10" x14ac:dyDescent="0.4">
      <c r="B170" s="4" t="s">
        <v>852</v>
      </c>
    </row>
    <row r="171" spans="1:10" x14ac:dyDescent="0.4">
      <c r="B171" s="4" t="s">
        <v>851</v>
      </c>
    </row>
    <row r="173" spans="1:10" x14ac:dyDescent="0.4">
      <c r="B173" s="214" t="s">
        <v>850</v>
      </c>
      <c r="C173" s="213"/>
      <c r="D173" s="213"/>
      <c r="E173" s="213"/>
      <c r="F173" s="213"/>
      <c r="G173" s="213"/>
      <c r="H173" s="213"/>
      <c r="I173" s="213"/>
      <c r="J173" s="212"/>
    </row>
    <row r="174" spans="1:10" x14ac:dyDescent="0.4">
      <c r="B174" s="211" t="s">
        <v>849</v>
      </c>
      <c r="C174" s="17"/>
      <c r="D174" s="17"/>
      <c r="E174" s="17"/>
      <c r="F174" s="17"/>
      <c r="G174" s="17"/>
      <c r="H174" s="17"/>
      <c r="I174" s="17"/>
      <c r="J174" s="210"/>
    </row>
    <row r="175" spans="1:10" x14ac:dyDescent="0.4">
      <c r="B175" s="209" t="s">
        <v>848</v>
      </c>
      <c r="C175" s="208"/>
      <c r="D175" s="208"/>
      <c r="E175" s="208"/>
      <c r="F175" s="208"/>
      <c r="G175" s="208"/>
      <c r="H175" s="208"/>
      <c r="I175" s="208"/>
      <c r="J175" s="207"/>
    </row>
  </sheetData>
  <mergeCells count="1">
    <mergeCell ref="D19:F19"/>
  </mergeCells>
  <phoneticPr fontId="3"/>
  <pageMargins left="0.25" right="0.25" top="0.75" bottom="0.75" header="0.3" footer="0.3"/>
  <pageSetup paperSize="9" scale="67" fitToHeight="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53"/>
  <sheetViews>
    <sheetView zoomScale="90" zoomScaleNormal="90" workbookViewId="0">
      <selection activeCell="D12" sqref="D12"/>
    </sheetView>
  </sheetViews>
  <sheetFormatPr defaultColWidth="12" defaultRowHeight="16.2" x14ac:dyDescent="0.4"/>
  <cols>
    <col min="1" max="1" width="12.109375" style="4" customWidth="1"/>
    <col min="2" max="5" width="13.109375" style="4" customWidth="1"/>
    <col min="6" max="7" width="12.6640625" style="4" customWidth="1"/>
    <col min="8" max="10" width="13.109375" style="4" customWidth="1"/>
    <col min="11" max="11" width="12" style="4"/>
    <col min="12" max="12" width="11.88671875" style="4" customWidth="1"/>
    <col min="13" max="16384" width="12" style="4"/>
  </cols>
  <sheetData>
    <row r="1" spans="1:17" x14ac:dyDescent="0.4">
      <c r="A1" s="1" t="s">
        <v>302</v>
      </c>
      <c r="B1" s="2"/>
      <c r="C1" s="2"/>
      <c r="D1" s="2"/>
      <c r="E1" s="2"/>
      <c r="F1" s="2"/>
      <c r="G1" s="2"/>
      <c r="H1" s="2"/>
      <c r="I1" s="2"/>
      <c r="J1" s="2"/>
      <c r="K1" s="2"/>
      <c r="L1" s="2"/>
      <c r="M1" s="2"/>
      <c r="N1" s="2"/>
      <c r="O1" s="2"/>
      <c r="P1" s="2"/>
      <c r="Q1" s="3"/>
    </row>
    <row r="2" spans="1:17" x14ac:dyDescent="0.4">
      <c r="A2" s="5" t="s">
        <v>303</v>
      </c>
      <c r="B2" s="6"/>
      <c r="C2" s="6"/>
      <c r="D2" s="6"/>
      <c r="E2" s="6"/>
      <c r="F2" s="6"/>
      <c r="G2" s="6"/>
      <c r="H2" s="6"/>
      <c r="I2" s="6"/>
      <c r="J2" s="6"/>
      <c r="K2" s="6"/>
      <c r="L2" s="6"/>
      <c r="M2" s="6"/>
      <c r="N2" s="6"/>
      <c r="O2" s="6"/>
      <c r="P2" s="6"/>
      <c r="Q2" s="7"/>
    </row>
    <row r="3" spans="1:17" x14ac:dyDescent="0.4">
      <c r="A3" s="8" t="s">
        <v>373</v>
      </c>
      <c r="B3" s="9"/>
      <c r="C3" s="9"/>
      <c r="D3" s="9"/>
      <c r="E3" s="9"/>
      <c r="F3" s="9"/>
      <c r="G3" s="9"/>
      <c r="H3" s="9"/>
      <c r="I3" s="9"/>
      <c r="J3" s="9"/>
      <c r="K3" s="9"/>
      <c r="L3" s="9"/>
      <c r="M3" s="9"/>
      <c r="N3" s="9"/>
      <c r="O3" s="9"/>
      <c r="P3" s="9"/>
      <c r="Q3" s="10"/>
    </row>
    <row r="4" spans="1:17" s="12" customFormat="1" x14ac:dyDescent="0.4">
      <c r="A4" s="11"/>
      <c r="B4" s="11"/>
      <c r="C4" s="11"/>
      <c r="D4" s="11"/>
      <c r="E4" s="11"/>
      <c r="F4" s="11"/>
      <c r="G4" s="11"/>
      <c r="H4" s="11"/>
      <c r="I4" s="11"/>
      <c r="J4" s="11"/>
      <c r="K4" s="11"/>
      <c r="L4" s="11"/>
      <c r="M4" s="11"/>
      <c r="N4" s="11"/>
      <c r="O4" s="11"/>
      <c r="P4" s="11"/>
      <c r="Q4" s="11"/>
    </row>
    <row r="5" spans="1:17" ht="18" customHeight="1" x14ac:dyDescent="0.4">
      <c r="A5" s="13" t="s">
        <v>0</v>
      </c>
      <c r="B5" s="14"/>
      <c r="C5" s="14"/>
      <c r="D5" s="14"/>
      <c r="E5" s="14"/>
      <c r="F5" s="14"/>
      <c r="G5" s="14"/>
      <c r="H5" s="14"/>
      <c r="I5" s="14"/>
      <c r="J5" s="14"/>
      <c r="K5" s="14"/>
      <c r="L5" s="14"/>
      <c r="M5" s="14"/>
      <c r="N5" s="14"/>
      <c r="O5" s="14"/>
      <c r="P5" s="14"/>
      <c r="Q5" s="15"/>
    </row>
    <row r="6" spans="1:17" x14ac:dyDescent="0.4">
      <c r="A6" s="16" t="s">
        <v>372</v>
      </c>
      <c r="B6" s="17"/>
      <c r="C6" s="17"/>
      <c r="D6" s="17"/>
      <c r="E6" s="17"/>
      <c r="F6" s="17"/>
      <c r="G6" s="17"/>
      <c r="H6" s="17"/>
      <c r="I6" s="17"/>
      <c r="J6" s="17"/>
      <c r="K6" s="17"/>
      <c r="L6" s="17"/>
      <c r="M6" s="17"/>
      <c r="N6" s="17"/>
      <c r="O6" s="17"/>
      <c r="P6" s="17"/>
      <c r="Q6" s="18"/>
    </row>
    <row r="7" spans="1:17" x14ac:dyDescent="0.4">
      <c r="A7" s="16" t="s">
        <v>371</v>
      </c>
      <c r="B7" s="17"/>
      <c r="C7" s="17"/>
      <c r="D7" s="17"/>
      <c r="E7" s="17"/>
      <c r="F7" s="17"/>
      <c r="G7" s="17"/>
      <c r="H7" s="17"/>
      <c r="I7" s="17"/>
      <c r="J7" s="17"/>
      <c r="K7" s="17"/>
      <c r="L7" s="17"/>
      <c r="M7" s="17"/>
      <c r="N7" s="17"/>
      <c r="O7" s="17"/>
      <c r="P7" s="17"/>
      <c r="Q7" s="18"/>
    </row>
    <row r="8" spans="1:17" x14ac:dyDescent="0.4">
      <c r="A8" s="19" t="s">
        <v>370</v>
      </c>
      <c r="B8" s="20"/>
      <c r="C8" s="20"/>
      <c r="D8" s="20"/>
      <c r="E8" s="20"/>
      <c r="F8" s="20"/>
      <c r="G8" s="20"/>
      <c r="H8" s="20"/>
      <c r="I8" s="20"/>
      <c r="J8" s="20"/>
      <c r="K8" s="20"/>
      <c r="L8" s="20"/>
      <c r="M8" s="20"/>
      <c r="N8" s="20"/>
      <c r="O8" s="20"/>
      <c r="P8" s="20"/>
      <c r="Q8" s="21"/>
    </row>
    <row r="9" spans="1:17" s="120" customFormat="1" x14ac:dyDescent="0.4"/>
    <row r="10" spans="1:17" s="120" customFormat="1" x14ac:dyDescent="0.4">
      <c r="A10" s="120" t="s">
        <v>369</v>
      </c>
    </row>
    <row r="11" spans="1:17" s="120" customFormat="1" x14ac:dyDescent="0.4">
      <c r="A11" s="120" t="s">
        <v>368</v>
      </c>
    </row>
    <row r="12" spans="1:17" s="120" customFormat="1" x14ac:dyDescent="0.4">
      <c r="A12" s="120" t="s">
        <v>367</v>
      </c>
    </row>
    <row r="13" spans="1:17" s="120" customFormat="1" x14ac:dyDescent="0.4">
      <c r="A13" s="124"/>
      <c r="B13" s="124"/>
      <c r="C13" s="124"/>
      <c r="D13" s="124" t="s">
        <v>366</v>
      </c>
      <c r="E13" s="124"/>
      <c r="F13" s="124"/>
      <c r="G13" s="124"/>
      <c r="H13" s="124"/>
      <c r="I13" s="124"/>
      <c r="J13" s="124"/>
      <c r="K13" s="124"/>
      <c r="L13" s="124"/>
      <c r="M13" s="124"/>
    </row>
    <row r="14" spans="1:17" s="120" customFormat="1" x14ac:dyDescent="0.4">
      <c r="A14" s="124"/>
      <c r="B14" s="124" t="s">
        <v>191</v>
      </c>
      <c r="C14" s="124" t="s">
        <v>365</v>
      </c>
      <c r="D14" s="124" t="s">
        <v>364</v>
      </c>
      <c r="E14" s="124"/>
      <c r="F14" s="124"/>
      <c r="G14" s="124"/>
      <c r="H14" s="124"/>
      <c r="I14" s="124"/>
      <c r="J14" s="135" t="s">
        <v>363</v>
      </c>
      <c r="K14" s="134"/>
      <c r="L14" s="134"/>
      <c r="M14" s="133"/>
    </row>
    <row r="15" spans="1:17" s="120" customFormat="1" x14ac:dyDescent="0.4">
      <c r="A15" s="124" t="s">
        <v>362</v>
      </c>
      <c r="B15" s="124"/>
      <c r="C15" s="124"/>
      <c r="D15" s="124"/>
      <c r="E15" s="124">
        <v>4000</v>
      </c>
      <c r="F15" s="124"/>
      <c r="G15" s="124"/>
      <c r="H15" s="124"/>
      <c r="I15" s="124"/>
      <c r="J15" s="131"/>
      <c r="K15" s="126"/>
      <c r="L15" s="126"/>
      <c r="M15" s="130"/>
    </row>
    <row r="16" spans="1:17" s="120" customFormat="1" x14ac:dyDescent="0.4">
      <c r="A16" s="124" t="s">
        <v>361</v>
      </c>
      <c r="B16" s="124">
        <v>380</v>
      </c>
      <c r="C16" s="132">
        <v>2</v>
      </c>
      <c r="D16" s="124">
        <v>760</v>
      </c>
      <c r="E16" s="124"/>
      <c r="F16" s="124"/>
      <c r="G16" s="124" t="s">
        <v>360</v>
      </c>
      <c r="H16" s="124"/>
      <c r="I16" s="124"/>
      <c r="J16" s="131" t="s">
        <v>359</v>
      </c>
      <c r="K16" s="126"/>
      <c r="L16" s="126">
        <v>9600000</v>
      </c>
      <c r="M16" s="130" t="s">
        <v>358</v>
      </c>
    </row>
    <row r="17" spans="1:13" s="120" customFormat="1" x14ac:dyDescent="0.4">
      <c r="A17" s="124" t="s">
        <v>337</v>
      </c>
      <c r="B17" s="124">
        <v>1600</v>
      </c>
      <c r="C17" s="132">
        <v>0.5</v>
      </c>
      <c r="D17" s="124">
        <v>800</v>
      </c>
      <c r="E17" s="124"/>
      <c r="F17" s="124"/>
      <c r="G17" s="124">
        <f>200*0.5</f>
        <v>100</v>
      </c>
      <c r="H17" s="124"/>
      <c r="I17" s="124" t="s">
        <v>354</v>
      </c>
      <c r="J17" s="131" t="s">
        <v>357</v>
      </c>
      <c r="K17" s="126"/>
      <c r="L17" s="126">
        <v>12000</v>
      </c>
      <c r="M17" s="130" t="s">
        <v>356</v>
      </c>
    </row>
    <row r="18" spans="1:13" s="120" customFormat="1" x14ac:dyDescent="0.4">
      <c r="A18" s="124" t="s">
        <v>336</v>
      </c>
      <c r="B18" s="124">
        <f>+L19</f>
        <v>1000</v>
      </c>
      <c r="C18" s="132">
        <v>0.8</v>
      </c>
      <c r="D18" s="124">
        <f>+B18*0.8</f>
        <v>800</v>
      </c>
      <c r="E18" s="124"/>
      <c r="F18" s="124"/>
      <c r="G18" s="124"/>
      <c r="H18" s="124"/>
      <c r="I18" s="124"/>
      <c r="J18" s="131" t="s">
        <v>355</v>
      </c>
      <c r="K18" s="126"/>
      <c r="L18" s="126">
        <f>+L16/L17</f>
        <v>800</v>
      </c>
      <c r="M18" s="130"/>
    </row>
    <row r="19" spans="1:13" s="120" customFormat="1" x14ac:dyDescent="0.4">
      <c r="A19" s="124" t="s">
        <v>335</v>
      </c>
      <c r="B19" s="124"/>
      <c r="C19" s="124"/>
      <c r="D19" s="128"/>
      <c r="E19" s="128">
        <f>+SUM(D16:D19)</f>
        <v>2360</v>
      </c>
      <c r="F19" s="124"/>
      <c r="G19" s="128">
        <v>40</v>
      </c>
      <c r="H19" s="128">
        <f>+E19+SUM(G17:G19)</f>
        <v>2500</v>
      </c>
      <c r="I19" s="124" t="s">
        <v>354</v>
      </c>
      <c r="J19" s="129" t="s">
        <v>353</v>
      </c>
      <c r="K19" s="128"/>
      <c r="L19" s="128">
        <f>1800-L18</f>
        <v>1000</v>
      </c>
      <c r="M19" s="127"/>
    </row>
    <row r="20" spans="1:13" s="120" customFormat="1" x14ac:dyDescent="0.4">
      <c r="A20" s="124" t="s">
        <v>352</v>
      </c>
      <c r="B20" s="124"/>
      <c r="C20" s="124"/>
      <c r="D20" s="124"/>
      <c r="E20" s="126">
        <f>+E15-E19</f>
        <v>1640</v>
      </c>
      <c r="F20" s="125">
        <f>+E20/E15</f>
        <v>0.41</v>
      </c>
      <c r="G20" s="124"/>
      <c r="H20" s="124">
        <f>+E15-H19</f>
        <v>1500</v>
      </c>
      <c r="I20" s="124"/>
      <c r="J20" s="124"/>
      <c r="K20" s="124"/>
      <c r="L20" s="124"/>
      <c r="M20" s="124"/>
    </row>
    <row r="21" spans="1:13" s="120" customFormat="1" x14ac:dyDescent="0.4">
      <c r="A21" s="124"/>
      <c r="B21" s="124"/>
      <c r="C21" s="124"/>
      <c r="D21" s="124"/>
      <c r="E21" s="124"/>
      <c r="F21" s="124"/>
      <c r="G21" s="124"/>
      <c r="H21" s="124"/>
      <c r="I21" s="124"/>
      <c r="J21" s="124"/>
      <c r="K21" s="124"/>
      <c r="L21" s="124"/>
      <c r="M21" s="124"/>
    </row>
    <row r="22" spans="1:13" s="120" customFormat="1" x14ac:dyDescent="0.4">
      <c r="A22" s="124" t="s">
        <v>351</v>
      </c>
      <c r="B22" s="124">
        <v>800</v>
      </c>
      <c r="C22" s="124"/>
      <c r="D22" s="124">
        <f>+L16</f>
        <v>9600000</v>
      </c>
      <c r="E22" s="124"/>
      <c r="F22" s="124"/>
      <c r="G22" s="124"/>
      <c r="H22" s="124"/>
      <c r="I22" s="124"/>
      <c r="J22" s="124"/>
      <c r="K22" s="124"/>
      <c r="L22" s="124"/>
      <c r="M22" s="124"/>
    </row>
    <row r="23" spans="1:13" s="120" customFormat="1" x14ac:dyDescent="0.4">
      <c r="A23" s="124" t="s">
        <v>350</v>
      </c>
      <c r="B23" s="124"/>
      <c r="C23" s="124"/>
      <c r="D23" s="124">
        <v>3000000</v>
      </c>
      <c r="E23" s="124"/>
      <c r="F23" s="124"/>
      <c r="G23" s="124"/>
      <c r="H23" s="124"/>
      <c r="I23" s="124"/>
      <c r="J23" s="124"/>
      <c r="K23" s="124"/>
      <c r="L23" s="124"/>
      <c r="M23" s="124"/>
    </row>
    <row r="24" spans="1:13" s="120" customFormat="1" x14ac:dyDescent="0.4"/>
    <row r="25" spans="1:13" s="120" customFormat="1" x14ac:dyDescent="0.4">
      <c r="A25" s="120" t="s">
        <v>349</v>
      </c>
      <c r="B25" s="120" t="s">
        <v>344</v>
      </c>
    </row>
    <row r="26" spans="1:13" s="120" customFormat="1" x14ac:dyDescent="0.4">
      <c r="B26" s="120" t="s">
        <v>348</v>
      </c>
    </row>
    <row r="27" spans="1:13" s="120" customFormat="1" x14ac:dyDescent="0.4"/>
    <row r="28" spans="1:13" s="120" customFormat="1" x14ac:dyDescent="0.4">
      <c r="C28" s="122">
        <v>3000</v>
      </c>
      <c r="D28" s="120" t="s">
        <v>347</v>
      </c>
      <c r="E28" s="123">
        <f>+E19</f>
        <v>2360</v>
      </c>
      <c r="F28" s="120" t="s">
        <v>346</v>
      </c>
    </row>
    <row r="29" spans="1:13" s="120" customFormat="1" x14ac:dyDescent="0.4"/>
    <row r="30" spans="1:13" s="120" customFormat="1" x14ac:dyDescent="0.4">
      <c r="A30" s="120" t="s">
        <v>345</v>
      </c>
      <c r="B30" s="120" t="s">
        <v>344</v>
      </c>
    </row>
    <row r="31" spans="1:13" s="120" customFormat="1" x14ac:dyDescent="0.4">
      <c r="B31" s="120" t="s">
        <v>343</v>
      </c>
    </row>
    <row r="32" spans="1:13" s="120" customFormat="1" x14ac:dyDescent="0.4"/>
    <row r="33" spans="1:7" s="120" customFormat="1" x14ac:dyDescent="0.4">
      <c r="D33" s="120" t="s">
        <v>191</v>
      </c>
      <c r="E33" s="120" t="s">
        <v>342</v>
      </c>
    </row>
    <row r="34" spans="1:7" s="120" customFormat="1" x14ac:dyDescent="0.4">
      <c r="B34" s="120" t="s">
        <v>341</v>
      </c>
      <c r="D34" s="120">
        <v>3000</v>
      </c>
      <c r="E34" s="120">
        <v>3500</v>
      </c>
      <c r="F34" s="122">
        <f>+E34*D34</f>
        <v>10500000</v>
      </c>
    </row>
    <row r="35" spans="1:7" s="120" customFormat="1" x14ac:dyDescent="0.4"/>
    <row r="36" spans="1:7" s="120" customFormat="1" x14ac:dyDescent="0.4">
      <c r="B36" s="120" t="s">
        <v>340</v>
      </c>
    </row>
    <row r="37" spans="1:7" s="120" customFormat="1" x14ac:dyDescent="0.4">
      <c r="C37" s="120" t="s">
        <v>339</v>
      </c>
      <c r="D37" s="120">
        <v>200</v>
      </c>
      <c r="E37" s="120">
        <v>15000</v>
      </c>
      <c r="F37" s="120">
        <f>+D37*E37</f>
        <v>3000000</v>
      </c>
    </row>
    <row r="38" spans="1:7" s="120" customFormat="1" x14ac:dyDescent="0.4">
      <c r="C38" s="120" t="s">
        <v>338</v>
      </c>
      <c r="D38" s="120">
        <f>+D16</f>
        <v>760</v>
      </c>
      <c r="E38" s="120">
        <f>+E34</f>
        <v>3500</v>
      </c>
      <c r="F38" s="120">
        <f>+D38*E38</f>
        <v>2660000</v>
      </c>
    </row>
    <row r="39" spans="1:7" s="120" customFormat="1" x14ac:dyDescent="0.4">
      <c r="C39" s="120" t="s">
        <v>337</v>
      </c>
      <c r="D39" s="120">
        <f>+D17+G17</f>
        <v>900</v>
      </c>
      <c r="E39" s="120">
        <f>+E38</f>
        <v>3500</v>
      </c>
      <c r="F39" s="120">
        <f>+D39*E39</f>
        <v>3150000</v>
      </c>
    </row>
    <row r="40" spans="1:7" s="120" customFormat="1" x14ac:dyDescent="0.4">
      <c r="C40" s="120" t="s">
        <v>336</v>
      </c>
      <c r="D40" s="120">
        <f>+D18</f>
        <v>800</v>
      </c>
      <c r="E40" s="120">
        <f>+E39</f>
        <v>3500</v>
      </c>
      <c r="F40" s="120">
        <f>+D40*E40</f>
        <v>2800000</v>
      </c>
    </row>
    <row r="41" spans="1:7" s="120" customFormat="1" x14ac:dyDescent="0.4">
      <c r="C41" s="120" t="s">
        <v>335</v>
      </c>
      <c r="D41" s="120">
        <f>+G19</f>
        <v>40</v>
      </c>
      <c r="E41" s="120">
        <f>+E40</f>
        <v>3500</v>
      </c>
      <c r="F41" s="120">
        <f>+D41*E41</f>
        <v>140000</v>
      </c>
    </row>
    <row r="42" spans="1:7" s="120" customFormat="1" x14ac:dyDescent="0.4">
      <c r="F42" s="122">
        <f>SUM(F37:F41)</f>
        <v>11750000</v>
      </c>
    </row>
    <row r="43" spans="1:7" s="120" customFormat="1" x14ac:dyDescent="0.4"/>
    <row r="44" spans="1:7" s="120" customFormat="1" x14ac:dyDescent="0.4">
      <c r="F44" s="123">
        <f>+F34-F42</f>
        <v>-1250000</v>
      </c>
      <c r="G44" s="120" t="s">
        <v>334</v>
      </c>
    </row>
    <row r="45" spans="1:7" s="120" customFormat="1" x14ac:dyDescent="0.4"/>
    <row r="46" spans="1:7" s="120" customFormat="1" x14ac:dyDescent="0.4">
      <c r="A46" s="120" t="s">
        <v>333</v>
      </c>
      <c r="B46" s="120" t="s">
        <v>332</v>
      </c>
    </row>
    <row r="47" spans="1:7" s="120" customFormat="1" x14ac:dyDescent="0.4">
      <c r="B47" s="120" t="s">
        <v>331</v>
      </c>
    </row>
    <row r="48" spans="1:7" s="120" customFormat="1" x14ac:dyDescent="0.4">
      <c r="B48" s="120" t="s">
        <v>330</v>
      </c>
    </row>
    <row r="49" spans="4:7" s="120" customFormat="1" x14ac:dyDescent="0.4"/>
    <row r="50" spans="4:7" s="120" customFormat="1" x14ac:dyDescent="0.4">
      <c r="D50" s="120" t="s">
        <v>329</v>
      </c>
      <c r="F50" s="122">
        <f>+F34-SUM(F38:F41)</f>
        <v>1750000</v>
      </c>
      <c r="G50" s="120" t="s">
        <v>328</v>
      </c>
    </row>
    <row r="51" spans="4:7" s="120" customFormat="1" x14ac:dyDescent="0.4">
      <c r="F51" s="120">
        <f>+F50/E37</f>
        <v>116.66666666666667</v>
      </c>
      <c r="G51" s="120" t="s">
        <v>327</v>
      </c>
    </row>
    <row r="52" spans="4:7" s="120" customFormat="1" x14ac:dyDescent="0.4">
      <c r="F52" s="121">
        <f>4000-F51</f>
        <v>3883.3333333333335</v>
      </c>
      <c r="G52" s="120" t="s">
        <v>326</v>
      </c>
    </row>
    <row r="53" spans="4:7" s="120" customFormat="1" x14ac:dyDescent="0.4"/>
  </sheetData>
  <phoneticPr fontId="3"/>
  <pageMargins left="0.25" right="0.25" top="0.75" bottom="0.75" header="0.3" footer="0.3"/>
  <pageSetup paperSize="9" scale="74"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41"/>
  <sheetViews>
    <sheetView zoomScale="90" zoomScaleNormal="90" workbookViewId="0">
      <selection activeCell="I27" sqref="I27"/>
    </sheetView>
  </sheetViews>
  <sheetFormatPr defaultColWidth="12" defaultRowHeight="16.2" x14ac:dyDescent="0.4"/>
  <cols>
    <col min="1" max="1" width="12.109375" style="4" customWidth="1"/>
    <col min="2" max="5" width="13.109375" style="4" customWidth="1"/>
    <col min="6" max="7" width="12.6640625" style="4" customWidth="1"/>
    <col min="8" max="10" width="13.109375" style="4" customWidth="1"/>
    <col min="11" max="11" width="12" style="4"/>
    <col min="12" max="12" width="11.88671875" style="4" customWidth="1"/>
    <col min="13" max="16384" width="12" style="4"/>
  </cols>
  <sheetData>
    <row r="1" spans="1:17" x14ac:dyDescent="0.4">
      <c r="A1" s="1" t="s">
        <v>302</v>
      </c>
      <c r="B1" s="2"/>
      <c r="C1" s="2"/>
      <c r="D1" s="2"/>
      <c r="E1" s="2"/>
      <c r="F1" s="2"/>
      <c r="G1" s="2"/>
      <c r="H1" s="2"/>
      <c r="I1" s="2"/>
      <c r="J1" s="2"/>
      <c r="K1" s="2"/>
      <c r="L1" s="2"/>
      <c r="M1" s="2"/>
      <c r="N1" s="2"/>
      <c r="O1" s="2"/>
      <c r="P1" s="2"/>
      <c r="Q1" s="3"/>
    </row>
    <row r="2" spans="1:17" x14ac:dyDescent="0.4">
      <c r="A2" s="5" t="s">
        <v>303</v>
      </c>
      <c r="B2" s="6"/>
      <c r="C2" s="6"/>
      <c r="D2" s="6"/>
      <c r="E2" s="6"/>
      <c r="F2" s="6"/>
      <c r="G2" s="6"/>
      <c r="H2" s="6"/>
      <c r="I2" s="6"/>
      <c r="J2" s="6"/>
      <c r="K2" s="6"/>
      <c r="L2" s="6"/>
      <c r="M2" s="6"/>
      <c r="N2" s="6"/>
      <c r="O2" s="6"/>
      <c r="P2" s="6"/>
      <c r="Q2" s="7"/>
    </row>
    <row r="3" spans="1:17" x14ac:dyDescent="0.4">
      <c r="A3" s="8" t="s">
        <v>409</v>
      </c>
      <c r="B3" s="9"/>
      <c r="C3" s="9"/>
      <c r="D3" s="9"/>
      <c r="E3" s="9"/>
      <c r="F3" s="9"/>
      <c r="G3" s="9"/>
      <c r="H3" s="9"/>
      <c r="I3" s="9"/>
      <c r="J3" s="9"/>
      <c r="K3" s="9"/>
      <c r="L3" s="9"/>
      <c r="M3" s="9"/>
      <c r="N3" s="9"/>
      <c r="O3" s="9"/>
      <c r="P3" s="9"/>
      <c r="Q3" s="10"/>
    </row>
    <row r="4" spans="1:17" s="12" customFormat="1" x14ac:dyDescent="0.4">
      <c r="A4" s="11"/>
      <c r="B4" s="11"/>
      <c r="C4" s="11"/>
      <c r="D4" s="11"/>
      <c r="E4" s="11"/>
      <c r="F4" s="11"/>
      <c r="G4" s="11"/>
      <c r="H4" s="11"/>
      <c r="I4" s="11"/>
      <c r="J4" s="11"/>
      <c r="K4" s="11"/>
      <c r="L4" s="11"/>
      <c r="M4" s="11"/>
      <c r="N4" s="11"/>
      <c r="O4" s="11"/>
      <c r="P4" s="11"/>
      <c r="Q4" s="11"/>
    </row>
    <row r="5" spans="1:17" ht="18" customHeight="1" x14ac:dyDescent="0.4">
      <c r="A5" s="13" t="s">
        <v>0</v>
      </c>
      <c r="B5" s="14"/>
      <c r="C5" s="14"/>
      <c r="D5" s="14"/>
      <c r="E5" s="14"/>
      <c r="F5" s="14"/>
      <c r="G5" s="14"/>
      <c r="H5" s="14"/>
      <c r="I5" s="14"/>
      <c r="J5" s="14"/>
      <c r="K5" s="14"/>
      <c r="L5" s="14"/>
      <c r="M5" s="14"/>
      <c r="N5" s="14"/>
      <c r="O5" s="14"/>
      <c r="P5" s="14"/>
      <c r="Q5" s="15"/>
    </row>
    <row r="6" spans="1:17" x14ac:dyDescent="0.4">
      <c r="A6" s="16" t="s">
        <v>408</v>
      </c>
      <c r="B6" s="17"/>
      <c r="C6" s="17"/>
      <c r="D6" s="17"/>
      <c r="E6" s="17"/>
      <c r="F6" s="17"/>
      <c r="G6" s="17"/>
      <c r="H6" s="17"/>
      <c r="I6" s="17"/>
      <c r="J6" s="17"/>
      <c r="K6" s="17"/>
      <c r="L6" s="17"/>
      <c r="M6" s="17"/>
      <c r="N6" s="17"/>
      <c r="O6" s="17"/>
      <c r="P6" s="17"/>
      <c r="Q6" s="18"/>
    </row>
    <row r="7" spans="1:17" x14ac:dyDescent="0.4">
      <c r="A7" s="19" t="s">
        <v>407</v>
      </c>
      <c r="B7" s="20"/>
      <c r="C7" s="20"/>
      <c r="D7" s="20"/>
      <c r="E7" s="20"/>
      <c r="F7" s="20"/>
      <c r="G7" s="20"/>
      <c r="H7" s="20"/>
      <c r="I7" s="20"/>
      <c r="J7" s="20"/>
      <c r="K7" s="20"/>
      <c r="L7" s="20"/>
      <c r="M7" s="20"/>
      <c r="N7" s="20"/>
      <c r="O7" s="20"/>
      <c r="P7" s="20"/>
      <c r="Q7" s="21"/>
    </row>
    <row r="8" spans="1:17" s="120" customFormat="1" x14ac:dyDescent="0.4"/>
    <row r="9" spans="1:17" s="120" customFormat="1" x14ac:dyDescent="0.4">
      <c r="A9" s="120" t="s">
        <v>406</v>
      </c>
    </row>
    <row r="11" spans="1:17" s="120" customFormat="1" x14ac:dyDescent="0.4">
      <c r="H11" s="120" t="s">
        <v>345</v>
      </c>
    </row>
    <row r="12" spans="1:17" s="120" customFormat="1" x14ac:dyDescent="0.4">
      <c r="B12" s="120" t="s">
        <v>342</v>
      </c>
      <c r="C12" s="120">
        <v>12000</v>
      </c>
      <c r="H12" s="120" t="s">
        <v>405</v>
      </c>
      <c r="L12" s="120" t="s">
        <v>404</v>
      </c>
    </row>
    <row r="13" spans="1:17" s="120" customFormat="1" x14ac:dyDescent="0.4">
      <c r="H13" s="120">
        <v>10500</v>
      </c>
      <c r="I13" s="120" t="s">
        <v>194</v>
      </c>
      <c r="L13" s="120">
        <v>13500</v>
      </c>
      <c r="M13" s="120" t="s">
        <v>194</v>
      </c>
    </row>
    <row r="14" spans="1:17" s="120" customFormat="1" x14ac:dyDescent="0.4">
      <c r="B14" s="120" t="s">
        <v>191</v>
      </c>
      <c r="C14" s="120" t="s">
        <v>403</v>
      </c>
      <c r="D14" s="120" t="s">
        <v>402</v>
      </c>
      <c r="J14" s="120" t="s">
        <v>401</v>
      </c>
    </row>
    <row r="15" spans="1:17" s="120" customFormat="1" x14ac:dyDescent="0.4">
      <c r="A15" s="120" t="s">
        <v>400</v>
      </c>
      <c r="D15" s="120">
        <v>10000</v>
      </c>
      <c r="F15" s="120">
        <f>+C12*D15</f>
        <v>120000000</v>
      </c>
      <c r="H15" s="120">
        <f>+H13*D15</f>
        <v>105000000</v>
      </c>
      <c r="J15" s="120" t="s">
        <v>400</v>
      </c>
      <c r="L15" s="120">
        <f>+D15*L13</f>
        <v>135000000</v>
      </c>
    </row>
    <row r="16" spans="1:17" s="120" customFormat="1" x14ac:dyDescent="0.4">
      <c r="J16" s="120" t="s">
        <v>399</v>
      </c>
      <c r="L16" s="120">
        <f>-D15*(L13-H13)*0.15</f>
        <v>-4500000</v>
      </c>
    </row>
    <row r="17" spans="1:13" s="120" customFormat="1" x14ac:dyDescent="0.4">
      <c r="A17" s="120" t="s">
        <v>361</v>
      </c>
      <c r="B17" s="120">
        <v>1000</v>
      </c>
      <c r="C17" s="120">
        <v>4</v>
      </c>
      <c r="D17" s="120">
        <f>+B17*C17</f>
        <v>4000</v>
      </c>
      <c r="E17" s="120">
        <f>+D17*$C$12</f>
        <v>48000000</v>
      </c>
      <c r="J17" s="120">
        <f>+D17*$L$13</f>
        <v>54000000</v>
      </c>
      <c r="K17" s="122">
        <f>+K35</f>
        <v>-420000</v>
      </c>
      <c r="M17" s="120" t="s">
        <v>398</v>
      </c>
    </row>
    <row r="18" spans="1:13" s="120" customFormat="1" x14ac:dyDescent="0.4">
      <c r="A18" s="120" t="s">
        <v>337</v>
      </c>
      <c r="B18" s="120">
        <v>800</v>
      </c>
      <c r="C18" s="120">
        <v>2</v>
      </c>
      <c r="D18" s="120">
        <f>+B18*C18</f>
        <v>1600</v>
      </c>
      <c r="E18" s="120">
        <f>+D18*$C$12</f>
        <v>19200000</v>
      </c>
      <c r="J18" s="120">
        <f>+D18*$L$13</f>
        <v>21600000</v>
      </c>
      <c r="K18" s="122">
        <f>+I41</f>
        <v>400000</v>
      </c>
      <c r="M18" s="120" t="s">
        <v>397</v>
      </c>
    </row>
    <row r="19" spans="1:13" s="120" customFormat="1" x14ac:dyDescent="0.4">
      <c r="A19" s="120" t="s">
        <v>336</v>
      </c>
      <c r="B19" s="120">
        <v>600</v>
      </c>
      <c r="C19" s="120">
        <v>3</v>
      </c>
      <c r="D19" s="120">
        <f>+B19*C19</f>
        <v>1800</v>
      </c>
      <c r="E19" s="138">
        <f>+D19*$C$12</f>
        <v>21600000</v>
      </c>
      <c r="F19" s="138">
        <f>SUM(E17:E19)</f>
        <v>88800000</v>
      </c>
      <c r="H19" s="138">
        <f>+SUM(D17:D19)*H13</f>
        <v>77700000</v>
      </c>
      <c r="J19" s="120">
        <f>+D19*$L$13</f>
        <v>24300000</v>
      </c>
      <c r="L19" s="138">
        <f>+SUM(J17:K19)</f>
        <v>99880000</v>
      </c>
    </row>
    <row r="20" spans="1:13" s="120" customFormat="1" x14ac:dyDescent="0.4">
      <c r="A20" s="120" t="s">
        <v>396</v>
      </c>
      <c r="F20" s="120">
        <f>+F15-F19</f>
        <v>31200000</v>
      </c>
      <c r="H20" s="120">
        <f>+H15-H19</f>
        <v>27300000</v>
      </c>
      <c r="L20" s="120">
        <f>+L15+L16-L19</f>
        <v>30620000</v>
      </c>
    </row>
    <row r="21" spans="1:13" s="120" customFormat="1" x14ac:dyDescent="0.4">
      <c r="A21" s="120" t="s">
        <v>335</v>
      </c>
      <c r="D21" s="120">
        <v>500</v>
      </c>
      <c r="E21" s="138">
        <f>+D21*$C$12</f>
        <v>6000000</v>
      </c>
      <c r="F21" s="138"/>
      <c r="H21" s="138">
        <f>+D21*H13</f>
        <v>5250000</v>
      </c>
      <c r="J21" s="120">
        <f>+D21*L13</f>
        <v>6750000</v>
      </c>
      <c r="L21" s="138"/>
    </row>
    <row r="22" spans="1:13" s="120" customFormat="1" x14ac:dyDescent="0.4">
      <c r="A22" s="120" t="s">
        <v>395</v>
      </c>
      <c r="F22" s="120">
        <f>+F20-E21</f>
        <v>25200000</v>
      </c>
      <c r="H22" s="120">
        <f>+H20-H21</f>
        <v>22050000</v>
      </c>
      <c r="L22" s="139">
        <f>+L20-J21</f>
        <v>23870000</v>
      </c>
    </row>
    <row r="23" spans="1:13" s="120" customFormat="1" x14ac:dyDescent="0.4">
      <c r="A23" s="120" t="s">
        <v>351</v>
      </c>
      <c r="E23" s="120">
        <v>10800000</v>
      </c>
      <c r="J23" s="120">
        <f>+E23</f>
        <v>10800000</v>
      </c>
    </row>
    <row r="24" spans="1:13" s="120" customFormat="1" x14ac:dyDescent="0.4">
      <c r="A24" s="120" t="s">
        <v>350</v>
      </c>
      <c r="E24" s="120">
        <v>8500000</v>
      </c>
      <c r="F24" s="138">
        <f>+SUM(E23:E24)</f>
        <v>19300000</v>
      </c>
      <c r="H24" s="138">
        <f>+F24</f>
        <v>19300000</v>
      </c>
      <c r="J24" s="120">
        <f>+E24</f>
        <v>8500000</v>
      </c>
      <c r="K24" s="122">
        <v>1000000</v>
      </c>
      <c r="L24" s="138">
        <f>+SUM(J23:K24)</f>
        <v>20300000</v>
      </c>
      <c r="M24" s="120" t="s">
        <v>394</v>
      </c>
    </row>
    <row r="25" spans="1:13" s="120" customFormat="1" ht="16.8" thickBot="1" x14ac:dyDescent="0.45">
      <c r="A25" s="120" t="s">
        <v>393</v>
      </c>
      <c r="F25" s="137">
        <f>+F22-F24</f>
        <v>5900000</v>
      </c>
      <c r="H25" s="137">
        <f>+H22-H24</f>
        <v>2750000</v>
      </c>
      <c r="L25" s="137">
        <f>+L22-L24</f>
        <v>3570000</v>
      </c>
    </row>
    <row r="26" spans="1:13" s="120" customFormat="1" ht="16.8" thickTop="1" x14ac:dyDescent="0.4">
      <c r="H26" s="120" t="s">
        <v>392</v>
      </c>
      <c r="L26" s="120" t="s">
        <v>391</v>
      </c>
    </row>
    <row r="27" spans="1:13" s="120" customFormat="1" x14ac:dyDescent="0.4">
      <c r="L27" s="123">
        <f>+L25-H25</f>
        <v>820000</v>
      </c>
      <c r="M27" s="120" t="s">
        <v>390</v>
      </c>
    </row>
    <row r="28" spans="1:13" s="120" customFormat="1" x14ac:dyDescent="0.4"/>
    <row r="29" spans="1:13" s="120" customFormat="1" x14ac:dyDescent="0.4"/>
    <row r="30" spans="1:13" s="120" customFormat="1" x14ac:dyDescent="0.4">
      <c r="H30" s="120" t="s">
        <v>389</v>
      </c>
    </row>
    <row r="31" spans="1:13" s="120" customFormat="1" x14ac:dyDescent="0.4"/>
    <row r="32" spans="1:13" s="120" customFormat="1" x14ac:dyDescent="0.4">
      <c r="H32" s="120" t="s">
        <v>388</v>
      </c>
      <c r="I32" s="120" t="s">
        <v>387</v>
      </c>
      <c r="J32" s="120" t="s">
        <v>386</v>
      </c>
      <c r="K32" s="120" t="s">
        <v>385</v>
      </c>
    </row>
    <row r="33" spans="8:12" s="120" customFormat="1" x14ac:dyDescent="0.4">
      <c r="H33" s="120" t="s">
        <v>384</v>
      </c>
      <c r="K33" s="120">
        <f>+SUM(I33:J33)</f>
        <v>0</v>
      </c>
    </row>
    <row r="34" spans="8:12" s="120" customFormat="1" x14ac:dyDescent="0.4">
      <c r="H34" s="120" t="s">
        <v>383</v>
      </c>
      <c r="I34" s="120">
        <f>-J17*0.05</f>
        <v>-2700000</v>
      </c>
      <c r="J34" s="120">
        <f>250000*12</f>
        <v>3000000</v>
      </c>
      <c r="K34" s="120">
        <f>+SUM(I34:J34)</f>
        <v>300000</v>
      </c>
    </row>
    <row r="35" spans="8:12" s="120" customFormat="1" x14ac:dyDescent="0.4">
      <c r="H35" s="120" t="s">
        <v>382</v>
      </c>
      <c r="I35" s="120">
        <f>-J17*0.08</f>
        <v>-4320000</v>
      </c>
      <c r="J35" s="120">
        <f>325000*12</f>
        <v>3900000</v>
      </c>
      <c r="K35" s="122">
        <f>+SUM(I35:J35)</f>
        <v>-420000</v>
      </c>
      <c r="L35" s="120" t="s">
        <v>381</v>
      </c>
    </row>
    <row r="36" spans="8:12" s="120" customFormat="1" x14ac:dyDescent="0.4"/>
    <row r="37" spans="8:12" x14ac:dyDescent="0.4">
      <c r="H37" s="4" t="s">
        <v>380</v>
      </c>
    </row>
    <row r="39" spans="8:12" x14ac:dyDescent="0.4">
      <c r="H39" s="4" t="s">
        <v>379</v>
      </c>
      <c r="I39" s="4">
        <v>200</v>
      </c>
      <c r="J39" s="4" t="s">
        <v>378</v>
      </c>
    </row>
    <row r="40" spans="8:12" x14ac:dyDescent="0.4">
      <c r="H40" s="4" t="s">
        <v>377</v>
      </c>
      <c r="I40" s="4">
        <f>+L13*C18-25000</f>
        <v>2000</v>
      </c>
      <c r="J40" s="4" t="s">
        <v>376</v>
      </c>
    </row>
    <row r="41" spans="8:12" x14ac:dyDescent="0.4">
      <c r="H41" s="4" t="s">
        <v>375</v>
      </c>
      <c r="I41" s="136">
        <f>+I39*I40</f>
        <v>400000</v>
      </c>
      <c r="J41" s="4" t="s">
        <v>374</v>
      </c>
    </row>
  </sheetData>
  <phoneticPr fontId="3"/>
  <pageMargins left="0.25" right="0.25" top="0.75" bottom="0.75" header="0.3" footer="0.3"/>
  <pageSetup paperSize="9" scale="74"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47"/>
  <sheetViews>
    <sheetView zoomScale="90" zoomScaleNormal="90" workbookViewId="0">
      <selection activeCell="I27" sqref="I27"/>
    </sheetView>
  </sheetViews>
  <sheetFormatPr defaultColWidth="12" defaultRowHeight="16.2" x14ac:dyDescent="0.4"/>
  <cols>
    <col min="1" max="1" width="12.109375" style="4" customWidth="1"/>
    <col min="2" max="5" width="13.109375" style="4" customWidth="1"/>
    <col min="6" max="7" width="12.6640625" style="4" customWidth="1"/>
    <col min="8" max="10" width="13.109375" style="4" customWidth="1"/>
    <col min="11" max="11" width="12" style="4"/>
    <col min="12" max="12" width="11.88671875" style="4" customWidth="1"/>
    <col min="13" max="16384" width="12" style="4"/>
  </cols>
  <sheetData>
    <row r="1" spans="1:17" x14ac:dyDescent="0.4">
      <c r="A1" s="1" t="s">
        <v>302</v>
      </c>
      <c r="B1" s="2"/>
      <c r="C1" s="2"/>
      <c r="D1" s="2"/>
      <c r="E1" s="2"/>
      <c r="F1" s="2"/>
      <c r="G1" s="2"/>
      <c r="H1" s="2"/>
      <c r="I1" s="2"/>
      <c r="J1" s="2"/>
      <c r="K1" s="2"/>
      <c r="L1" s="2"/>
      <c r="M1" s="2"/>
      <c r="N1" s="2"/>
      <c r="O1" s="2"/>
      <c r="P1" s="2"/>
      <c r="Q1" s="3"/>
    </row>
    <row r="2" spans="1:17" x14ac:dyDescent="0.4">
      <c r="A2" s="5" t="s">
        <v>442</v>
      </c>
      <c r="B2" s="6"/>
      <c r="C2" s="6"/>
      <c r="D2" s="6"/>
      <c r="E2" s="6"/>
      <c r="F2" s="6"/>
      <c r="G2" s="6"/>
      <c r="H2" s="6"/>
      <c r="I2" s="6"/>
      <c r="J2" s="6"/>
      <c r="K2" s="6"/>
      <c r="L2" s="6"/>
      <c r="M2" s="6"/>
      <c r="N2" s="6"/>
      <c r="O2" s="6"/>
      <c r="P2" s="6"/>
      <c r="Q2" s="7"/>
    </row>
    <row r="3" spans="1:17" x14ac:dyDescent="0.4">
      <c r="A3" s="8" t="s">
        <v>441</v>
      </c>
      <c r="B3" s="9"/>
      <c r="C3" s="9"/>
      <c r="D3" s="9"/>
      <c r="E3" s="9"/>
      <c r="F3" s="9"/>
      <c r="G3" s="9"/>
      <c r="H3" s="9"/>
      <c r="I3" s="9"/>
      <c r="J3" s="9"/>
      <c r="K3" s="9"/>
      <c r="L3" s="9"/>
      <c r="M3" s="9"/>
      <c r="N3" s="9"/>
      <c r="O3" s="9"/>
      <c r="P3" s="9"/>
      <c r="Q3" s="10"/>
    </row>
    <row r="4" spans="1:17" s="12" customFormat="1" x14ac:dyDescent="0.4">
      <c r="A4" s="11"/>
      <c r="B4" s="11"/>
      <c r="C4" s="11"/>
      <c r="D4" s="11"/>
      <c r="E4" s="11"/>
      <c r="F4" s="11"/>
      <c r="G4" s="11"/>
      <c r="H4" s="11"/>
      <c r="I4" s="11"/>
      <c r="J4" s="11"/>
      <c r="K4" s="11"/>
      <c r="L4" s="11"/>
      <c r="M4" s="11"/>
      <c r="N4" s="11"/>
      <c r="O4" s="11"/>
      <c r="P4" s="11"/>
      <c r="Q4" s="11"/>
    </row>
    <row r="5" spans="1:17" ht="18" customHeight="1" x14ac:dyDescent="0.4">
      <c r="A5" s="13" t="s">
        <v>0</v>
      </c>
      <c r="B5" s="14"/>
      <c r="C5" s="14"/>
      <c r="D5" s="14"/>
      <c r="E5" s="14"/>
      <c r="F5" s="14"/>
      <c r="G5" s="14"/>
      <c r="H5" s="14"/>
      <c r="I5" s="14"/>
      <c r="J5" s="14"/>
      <c r="K5" s="14"/>
      <c r="L5" s="14"/>
      <c r="M5" s="14"/>
      <c r="N5" s="14"/>
      <c r="O5" s="14"/>
      <c r="P5" s="14"/>
      <c r="Q5" s="15"/>
    </row>
    <row r="6" spans="1:17" x14ac:dyDescent="0.4">
      <c r="A6" s="16" t="s">
        <v>440</v>
      </c>
      <c r="B6" s="17"/>
      <c r="C6" s="17"/>
      <c r="D6" s="17"/>
      <c r="E6" s="17"/>
      <c r="F6" s="17"/>
      <c r="G6" s="17"/>
      <c r="H6" s="17"/>
      <c r="I6" s="17"/>
      <c r="J6" s="17"/>
      <c r="K6" s="17"/>
      <c r="L6" s="17"/>
      <c r="M6" s="17"/>
      <c r="N6" s="17"/>
      <c r="O6" s="17"/>
      <c r="P6" s="17"/>
      <c r="Q6" s="18"/>
    </row>
    <row r="7" spans="1:17" x14ac:dyDescent="0.4">
      <c r="A7" s="19" t="s">
        <v>439</v>
      </c>
      <c r="B7" s="20"/>
      <c r="C7" s="20"/>
      <c r="D7" s="20"/>
      <c r="E7" s="20"/>
      <c r="F7" s="20"/>
      <c r="G7" s="20"/>
      <c r="H7" s="20"/>
      <c r="I7" s="20"/>
      <c r="J7" s="20"/>
      <c r="K7" s="20"/>
      <c r="L7" s="20"/>
      <c r="M7" s="20"/>
      <c r="N7" s="20"/>
      <c r="O7" s="20"/>
      <c r="P7" s="20"/>
      <c r="Q7" s="21"/>
    </row>
    <row r="8" spans="1:17" s="120" customFormat="1" x14ac:dyDescent="0.4"/>
    <row r="10" spans="1:17" s="120" customFormat="1" x14ac:dyDescent="0.4">
      <c r="A10" s="120" t="s">
        <v>438</v>
      </c>
      <c r="B10" s="120" t="s">
        <v>437</v>
      </c>
    </row>
    <row r="11" spans="1:17" s="120" customFormat="1" x14ac:dyDescent="0.4"/>
    <row r="12" spans="1:17" s="120" customFormat="1" x14ac:dyDescent="0.4">
      <c r="B12" s="120" t="s">
        <v>436</v>
      </c>
    </row>
    <row r="13" spans="1:17" s="120" customFormat="1" x14ac:dyDescent="0.4">
      <c r="B13" s="120" t="s">
        <v>435</v>
      </c>
      <c r="C13" s="120">
        <v>1240</v>
      </c>
      <c r="D13" s="120">
        <v>1260000</v>
      </c>
    </row>
    <row r="14" spans="1:17" s="120" customFormat="1" x14ac:dyDescent="0.4">
      <c r="B14" s="120" t="s">
        <v>434</v>
      </c>
      <c r="C14" s="120">
        <v>1540</v>
      </c>
      <c r="D14" s="120">
        <v>1482000</v>
      </c>
    </row>
    <row r="15" spans="1:17" s="120" customFormat="1" x14ac:dyDescent="0.4">
      <c r="C15" s="120">
        <f>+C14-C13</f>
        <v>300</v>
      </c>
      <c r="D15" s="120">
        <f>+D14-D13</f>
        <v>222000</v>
      </c>
    </row>
    <row r="16" spans="1:17" s="120" customFormat="1" x14ac:dyDescent="0.4">
      <c r="C16" s="120" t="s">
        <v>433</v>
      </c>
      <c r="D16" s="123">
        <f>+D15/C15</f>
        <v>740</v>
      </c>
      <c r="E16" s="120" t="s">
        <v>432</v>
      </c>
      <c r="F16" s="123">
        <f>+D13-D16*C13</f>
        <v>342400</v>
      </c>
    </row>
    <row r="17" spans="1:6" s="120" customFormat="1" x14ac:dyDescent="0.4"/>
    <row r="18" spans="1:6" s="120" customFormat="1" x14ac:dyDescent="0.4">
      <c r="A18" s="120" t="s">
        <v>431</v>
      </c>
    </row>
    <row r="19" spans="1:6" s="120" customFormat="1" x14ac:dyDescent="0.4">
      <c r="B19" s="120" t="s">
        <v>710</v>
      </c>
    </row>
    <row r="20" spans="1:6" s="120" customFormat="1" x14ac:dyDescent="0.4"/>
    <row r="21" spans="1:6" s="120" customFormat="1" x14ac:dyDescent="0.4">
      <c r="B21" s="120" t="s">
        <v>430</v>
      </c>
      <c r="C21" s="120">
        <f>+F16*6</f>
        <v>2054400</v>
      </c>
    </row>
    <row r="22" spans="1:6" s="120" customFormat="1" x14ac:dyDescent="0.4">
      <c r="B22" s="120" t="s">
        <v>429</v>
      </c>
      <c r="C22" s="120">
        <v>481000</v>
      </c>
    </row>
    <row r="23" spans="1:6" s="120" customFormat="1" x14ac:dyDescent="0.4">
      <c r="B23" s="120" t="s">
        <v>428</v>
      </c>
      <c r="C23" s="120">
        <v>453400</v>
      </c>
    </row>
    <row r="24" spans="1:6" s="120" customFormat="1" x14ac:dyDescent="0.4">
      <c r="B24" s="120" t="s">
        <v>427</v>
      </c>
      <c r="C24" s="120">
        <v>460000</v>
      </c>
    </row>
    <row r="25" spans="1:6" s="120" customFormat="1" ht="16.8" thickBot="1" x14ac:dyDescent="0.45">
      <c r="C25" s="140">
        <f>+C21-SUM(C22:C24)</f>
        <v>660000</v>
      </c>
    </row>
    <row r="26" spans="1:6" s="120" customFormat="1" ht="16.8" thickTop="1" x14ac:dyDescent="0.4">
      <c r="E26" s="120">
        <v>8000</v>
      </c>
      <c r="F26" s="120" t="s">
        <v>426</v>
      </c>
    </row>
    <row r="27" spans="1:6" s="120" customFormat="1" x14ac:dyDescent="0.4">
      <c r="A27" s="120" t="s">
        <v>425</v>
      </c>
    </row>
    <row r="28" spans="1:6" s="120" customFormat="1" x14ac:dyDescent="0.4">
      <c r="B28" s="120" t="s">
        <v>424</v>
      </c>
    </row>
    <row r="29" spans="1:6" s="120" customFormat="1" x14ac:dyDescent="0.4">
      <c r="C29" s="120" t="s">
        <v>423</v>
      </c>
      <c r="E29" s="120" t="s">
        <v>422</v>
      </c>
    </row>
    <row r="30" spans="1:6" s="120" customFormat="1" x14ac:dyDescent="0.4">
      <c r="B30" s="120" t="s">
        <v>421</v>
      </c>
      <c r="E30" s="120">
        <v>2300</v>
      </c>
    </row>
    <row r="31" spans="1:6" s="120" customFormat="1" x14ac:dyDescent="0.4"/>
    <row r="32" spans="1:6" s="120" customFormat="1" x14ac:dyDescent="0.4">
      <c r="B32" s="120" t="s">
        <v>361</v>
      </c>
      <c r="C32" s="120">
        <v>600</v>
      </c>
    </row>
    <row r="33" spans="1:6" s="120" customFormat="1" x14ac:dyDescent="0.4">
      <c r="B33" s="120" t="s">
        <v>337</v>
      </c>
      <c r="C33" s="120">
        <v>800</v>
      </c>
    </row>
    <row r="34" spans="1:6" s="120" customFormat="1" x14ac:dyDescent="0.4">
      <c r="B34" s="120" t="s">
        <v>336</v>
      </c>
      <c r="C34" s="120">
        <v>740</v>
      </c>
      <c r="D34" s="120">
        <f>+SUM(C32:C34)</f>
        <v>2140</v>
      </c>
    </row>
    <row r="35" spans="1:6" s="120" customFormat="1" x14ac:dyDescent="0.4"/>
    <row r="36" spans="1:6" s="120" customFormat="1" x14ac:dyDescent="0.4">
      <c r="B36" s="120" t="s">
        <v>351</v>
      </c>
      <c r="C36" s="120">
        <f>+C21</f>
        <v>2054400</v>
      </c>
    </row>
    <row r="37" spans="1:6" s="120" customFormat="1" x14ac:dyDescent="0.4">
      <c r="B37" s="120" t="s">
        <v>420</v>
      </c>
      <c r="C37" s="120">
        <f>-SUM(C22:C23)</f>
        <v>-934400</v>
      </c>
    </row>
    <row r="38" spans="1:6" s="120" customFormat="1" x14ac:dyDescent="0.4">
      <c r="B38" s="120" t="s">
        <v>419</v>
      </c>
      <c r="C38" s="122">
        <f>+C36+C37</f>
        <v>1120000</v>
      </c>
      <c r="D38" s="120" t="s">
        <v>418</v>
      </c>
      <c r="E38" s="123">
        <f>+C38/(E30-SUM(C32:C34))</f>
        <v>7000</v>
      </c>
      <c r="F38" s="120" t="s">
        <v>410</v>
      </c>
    </row>
    <row r="39" spans="1:6" s="120" customFormat="1" x14ac:dyDescent="0.4"/>
    <row r="40" spans="1:6" s="120" customFormat="1" x14ac:dyDescent="0.4">
      <c r="A40" s="120" t="s">
        <v>417</v>
      </c>
    </row>
    <row r="41" spans="1:6" s="120" customFormat="1" x14ac:dyDescent="0.4">
      <c r="B41" s="120" t="s">
        <v>416</v>
      </c>
    </row>
    <row r="42" spans="1:6" s="120" customFormat="1" x14ac:dyDescent="0.4">
      <c r="B42" s="120" t="s">
        <v>415</v>
      </c>
    </row>
    <row r="43" spans="1:6" s="120" customFormat="1" x14ac:dyDescent="0.4"/>
    <row r="44" spans="1:6" s="120" customFormat="1" x14ac:dyDescent="0.4">
      <c r="B44" s="120" t="s">
        <v>414</v>
      </c>
      <c r="C44" s="120">
        <v>236000</v>
      </c>
      <c r="D44" s="120" t="s">
        <v>413</v>
      </c>
      <c r="E44" s="120">
        <f>6000*50</f>
        <v>300000</v>
      </c>
      <c r="F44" s="120" t="s">
        <v>412</v>
      </c>
    </row>
    <row r="45" spans="1:6" s="120" customFormat="1" x14ac:dyDescent="0.4"/>
    <row r="46" spans="1:6" s="120" customFormat="1" x14ac:dyDescent="0.4">
      <c r="B46" s="120" t="s">
        <v>411</v>
      </c>
      <c r="C46" s="122">
        <f>+C38+C44-E44</f>
        <v>1056000</v>
      </c>
      <c r="E46" s="123">
        <f>+C46/(E30-SUM(C32:C34))</f>
        <v>6600</v>
      </c>
      <c r="F46" s="120" t="s">
        <v>410</v>
      </c>
    </row>
    <row r="47" spans="1:6" s="120" customFormat="1" x14ac:dyDescent="0.4"/>
  </sheetData>
  <phoneticPr fontId="3"/>
  <pageMargins left="0.25" right="0.25" top="0.75" bottom="0.75" header="0.3" footer="0.3"/>
  <pageSetup paperSize="9" scale="74"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0"/>
  <sheetViews>
    <sheetView zoomScale="90" zoomScaleNormal="90" workbookViewId="0">
      <selection activeCell="I27" sqref="I27"/>
    </sheetView>
  </sheetViews>
  <sheetFormatPr defaultColWidth="12" defaultRowHeight="16.2" x14ac:dyDescent="0.4"/>
  <cols>
    <col min="1" max="1" width="12.109375" style="4" customWidth="1"/>
    <col min="2" max="5" width="13.109375" style="4" customWidth="1"/>
    <col min="6" max="7" width="12.6640625" style="4" customWidth="1"/>
    <col min="8" max="10" width="13.109375" style="4" customWidth="1"/>
    <col min="11" max="11" width="12" style="4"/>
    <col min="12" max="12" width="11.88671875" style="4" customWidth="1"/>
    <col min="13" max="16384" width="12" style="4"/>
  </cols>
  <sheetData>
    <row r="1" spans="1:17" x14ac:dyDescent="0.4">
      <c r="A1" s="1" t="s">
        <v>302</v>
      </c>
      <c r="B1" s="2"/>
      <c r="C1" s="2"/>
      <c r="D1" s="2"/>
      <c r="E1" s="2"/>
      <c r="F1" s="2"/>
      <c r="G1" s="2"/>
      <c r="H1" s="2"/>
      <c r="I1" s="2"/>
      <c r="J1" s="2"/>
      <c r="K1" s="2"/>
      <c r="L1" s="2"/>
      <c r="M1" s="2"/>
      <c r="N1" s="2"/>
      <c r="O1" s="2"/>
      <c r="P1" s="2"/>
      <c r="Q1" s="3"/>
    </row>
    <row r="2" spans="1:17" x14ac:dyDescent="0.4">
      <c r="A2" s="5" t="s">
        <v>442</v>
      </c>
      <c r="B2" s="6"/>
      <c r="C2" s="6"/>
      <c r="D2" s="6"/>
      <c r="E2" s="6"/>
      <c r="F2" s="6"/>
      <c r="G2" s="6"/>
      <c r="H2" s="6"/>
      <c r="I2" s="6"/>
      <c r="J2" s="6"/>
      <c r="K2" s="6"/>
      <c r="L2" s="6"/>
      <c r="M2" s="6"/>
      <c r="N2" s="6"/>
      <c r="O2" s="6"/>
      <c r="P2" s="6"/>
      <c r="Q2" s="7"/>
    </row>
    <row r="3" spans="1:17" x14ac:dyDescent="0.4">
      <c r="A3" s="8" t="s">
        <v>476</v>
      </c>
      <c r="B3" s="9"/>
      <c r="C3" s="9"/>
      <c r="D3" s="9"/>
      <c r="E3" s="9"/>
      <c r="F3" s="9"/>
      <c r="G3" s="9"/>
      <c r="H3" s="9"/>
      <c r="I3" s="9"/>
      <c r="J3" s="9"/>
      <c r="K3" s="9"/>
      <c r="L3" s="9"/>
      <c r="M3" s="9"/>
      <c r="N3" s="9"/>
      <c r="O3" s="9"/>
      <c r="P3" s="9"/>
      <c r="Q3" s="10"/>
    </row>
    <row r="4" spans="1:17" s="12" customFormat="1" x14ac:dyDescent="0.4">
      <c r="A4" s="11"/>
      <c r="B4" s="11"/>
      <c r="C4" s="11"/>
      <c r="D4" s="11"/>
      <c r="E4" s="11"/>
      <c r="F4" s="11"/>
      <c r="G4" s="11"/>
      <c r="H4" s="11"/>
      <c r="I4" s="11"/>
      <c r="J4" s="11"/>
      <c r="K4" s="11"/>
      <c r="L4" s="11"/>
      <c r="M4" s="11"/>
      <c r="N4" s="11"/>
      <c r="O4" s="11"/>
      <c r="P4" s="11"/>
      <c r="Q4" s="11"/>
    </row>
    <row r="5" spans="1:17" ht="18" customHeight="1" x14ac:dyDescent="0.4">
      <c r="A5" s="13" t="s">
        <v>0</v>
      </c>
      <c r="B5" s="14"/>
      <c r="C5" s="14"/>
      <c r="D5" s="14"/>
      <c r="E5" s="14"/>
      <c r="F5" s="14"/>
      <c r="G5" s="14"/>
      <c r="H5" s="14"/>
      <c r="I5" s="14"/>
      <c r="J5" s="14"/>
      <c r="K5" s="14"/>
      <c r="L5" s="14"/>
      <c r="M5" s="14"/>
      <c r="N5" s="14"/>
      <c r="O5" s="14"/>
      <c r="P5" s="14"/>
      <c r="Q5" s="15"/>
    </row>
    <row r="6" spans="1:17" x14ac:dyDescent="0.4">
      <c r="A6" s="16" t="s">
        <v>475</v>
      </c>
      <c r="B6" s="17"/>
      <c r="C6" s="17"/>
      <c r="D6" s="17"/>
      <c r="E6" s="17"/>
      <c r="F6" s="17"/>
      <c r="G6" s="17"/>
      <c r="H6" s="17"/>
      <c r="I6" s="17"/>
      <c r="J6" s="17"/>
      <c r="K6" s="17"/>
      <c r="L6" s="17"/>
      <c r="M6" s="17"/>
      <c r="N6" s="17"/>
      <c r="O6" s="17"/>
      <c r="P6" s="17"/>
      <c r="Q6" s="18"/>
    </row>
    <row r="7" spans="1:17" x14ac:dyDescent="0.4">
      <c r="A7" s="19" t="s">
        <v>474</v>
      </c>
      <c r="B7" s="20"/>
      <c r="C7" s="20"/>
      <c r="D7" s="20"/>
      <c r="E7" s="20"/>
      <c r="F7" s="20"/>
      <c r="G7" s="20"/>
      <c r="H7" s="20"/>
      <c r="I7" s="20"/>
      <c r="J7" s="20"/>
      <c r="K7" s="20"/>
      <c r="L7" s="20"/>
      <c r="M7" s="20"/>
      <c r="N7" s="20"/>
      <c r="O7" s="20"/>
      <c r="P7" s="20"/>
      <c r="Q7" s="21"/>
    </row>
    <row r="8" spans="1:17" s="120" customFormat="1" x14ac:dyDescent="0.4"/>
    <row r="9" spans="1:17" s="120" customFormat="1" x14ac:dyDescent="0.4"/>
    <row r="10" spans="1:17" s="120" customFormat="1" x14ac:dyDescent="0.4"/>
    <row r="11" spans="1:17" s="120" customFormat="1" x14ac:dyDescent="0.4">
      <c r="C11" s="120" t="s">
        <v>469</v>
      </c>
    </row>
    <row r="12" spans="1:17" s="120" customFormat="1" x14ac:dyDescent="0.4"/>
    <row r="13" spans="1:17" s="120" customFormat="1" x14ac:dyDescent="0.4">
      <c r="A13" s="120" t="s">
        <v>473</v>
      </c>
      <c r="D13" s="120">
        <v>10000</v>
      </c>
      <c r="E13" s="120" t="s">
        <v>194</v>
      </c>
      <c r="J13" s="120" t="s">
        <v>473</v>
      </c>
      <c r="M13" s="120">
        <v>5000</v>
      </c>
      <c r="N13" s="120" t="s">
        <v>194</v>
      </c>
    </row>
    <row r="14" spans="1:17" s="120" customFormat="1" x14ac:dyDescent="0.4">
      <c r="A14" s="120" t="s">
        <v>472</v>
      </c>
      <c r="D14" s="120">
        <v>14000</v>
      </c>
      <c r="J14" s="120" t="s">
        <v>472</v>
      </c>
      <c r="M14" s="120">
        <v>18000</v>
      </c>
    </row>
    <row r="15" spans="1:17" s="120" customFormat="1" x14ac:dyDescent="0.4"/>
    <row r="16" spans="1:17" s="120" customFormat="1" x14ac:dyDescent="0.4">
      <c r="A16" s="120" t="s">
        <v>471</v>
      </c>
      <c r="J16" s="120" t="s">
        <v>470</v>
      </c>
    </row>
    <row r="17" spans="1:14" s="120" customFormat="1" x14ac:dyDescent="0.4">
      <c r="C17" s="120" t="s">
        <v>191</v>
      </c>
      <c r="D17" s="120" t="s">
        <v>469</v>
      </c>
      <c r="L17" s="120" t="s">
        <v>191</v>
      </c>
      <c r="M17" s="120" t="s">
        <v>469</v>
      </c>
    </row>
    <row r="18" spans="1:14" s="120" customFormat="1" x14ac:dyDescent="0.4">
      <c r="A18" s="120" t="s">
        <v>468</v>
      </c>
      <c r="B18" s="120" t="s">
        <v>467</v>
      </c>
      <c r="C18" s="120">
        <v>6000</v>
      </c>
      <c r="D18" s="144">
        <v>1</v>
      </c>
      <c r="E18" s="120">
        <f>+C18*D18</f>
        <v>6000</v>
      </c>
      <c r="J18" s="120" t="s">
        <v>466</v>
      </c>
      <c r="L18" s="120">
        <v>4800</v>
      </c>
      <c r="M18" s="144">
        <v>1</v>
      </c>
      <c r="N18" s="120">
        <f>+L18*M18</f>
        <v>4800</v>
      </c>
    </row>
    <row r="19" spans="1:14" s="120" customFormat="1" x14ac:dyDescent="0.4">
      <c r="A19" s="120" t="s">
        <v>447</v>
      </c>
      <c r="C19" s="120">
        <f>6000*1.4</f>
        <v>8400</v>
      </c>
      <c r="D19" s="144">
        <v>0.5</v>
      </c>
      <c r="E19" s="120">
        <f>+C19*D19</f>
        <v>4200</v>
      </c>
      <c r="J19" s="120" t="s">
        <v>447</v>
      </c>
      <c r="L19" s="120">
        <f>6000*1.4</f>
        <v>8400</v>
      </c>
      <c r="M19" s="144">
        <v>1</v>
      </c>
      <c r="N19" s="120">
        <f>+L19*M19</f>
        <v>8400</v>
      </c>
    </row>
    <row r="20" spans="1:14" s="120" customFormat="1" x14ac:dyDescent="0.4">
      <c r="A20" s="120" t="s">
        <v>446</v>
      </c>
      <c r="C20" s="120">
        <v>3600</v>
      </c>
      <c r="D20" s="144">
        <v>0.5</v>
      </c>
      <c r="E20" s="120">
        <f>+C20*D20</f>
        <v>1800</v>
      </c>
      <c r="J20" s="120" t="s">
        <v>446</v>
      </c>
      <c r="L20" s="120">
        <v>3600</v>
      </c>
      <c r="M20" s="144">
        <v>1</v>
      </c>
      <c r="N20" s="120">
        <f>+L20*M20</f>
        <v>3600</v>
      </c>
    </row>
    <row r="21" spans="1:14" s="120" customFormat="1" x14ac:dyDescent="0.4">
      <c r="D21" s="144"/>
      <c r="E21" s="120">
        <f>SUM(E18:E20)</f>
        <v>12000</v>
      </c>
      <c r="N21" s="120">
        <f>SUM(N18:N20)</f>
        <v>16800</v>
      </c>
    </row>
    <row r="22" spans="1:14" s="120" customFormat="1" x14ac:dyDescent="0.4"/>
    <row r="23" spans="1:14" s="120" customFormat="1" x14ac:dyDescent="0.4">
      <c r="A23" s="120" t="s">
        <v>465</v>
      </c>
      <c r="C23" s="120" t="s">
        <v>464</v>
      </c>
      <c r="J23" s="120" t="s">
        <v>465</v>
      </c>
      <c r="L23" s="120" t="s">
        <v>464</v>
      </c>
    </row>
    <row r="24" spans="1:14" s="120" customFormat="1" x14ac:dyDescent="0.4">
      <c r="A24" s="120" t="s">
        <v>460</v>
      </c>
      <c r="E24" s="120">
        <v>1400</v>
      </c>
      <c r="F24" s="120" t="s">
        <v>195</v>
      </c>
    </row>
    <row r="25" spans="1:14" s="120" customFormat="1" x14ac:dyDescent="0.4"/>
    <row r="26" spans="1:14" s="120" customFormat="1" x14ac:dyDescent="0.4"/>
    <row r="27" spans="1:14" s="120" customFormat="1" x14ac:dyDescent="0.4">
      <c r="A27" s="120" t="s">
        <v>345</v>
      </c>
      <c r="C27" s="120" t="s">
        <v>463</v>
      </c>
      <c r="E27" s="120" t="s">
        <v>462</v>
      </c>
    </row>
    <row r="28" spans="1:14" s="120" customFormat="1" x14ac:dyDescent="0.4"/>
    <row r="29" spans="1:14" s="120" customFormat="1" x14ac:dyDescent="0.4">
      <c r="A29" s="120" t="s">
        <v>449</v>
      </c>
      <c r="E29" s="120">
        <f>+D14*D13/10000</f>
        <v>14000</v>
      </c>
    </row>
    <row r="30" spans="1:14" s="120" customFormat="1" x14ac:dyDescent="0.4">
      <c r="A30" s="120" t="s">
        <v>448</v>
      </c>
      <c r="C30" s="120">
        <f>+E18*D13/10000</f>
        <v>6000</v>
      </c>
    </row>
    <row r="31" spans="1:14" s="120" customFormat="1" x14ac:dyDescent="0.4">
      <c r="A31" s="120" t="s">
        <v>447</v>
      </c>
      <c r="C31" s="120">
        <f>+E19*D13/10000</f>
        <v>4200</v>
      </c>
    </row>
    <row r="32" spans="1:14" s="120" customFormat="1" x14ac:dyDescent="0.4">
      <c r="A32" s="120" t="s">
        <v>446</v>
      </c>
      <c r="C32" s="120">
        <f>+E20*D13/10000</f>
        <v>1800</v>
      </c>
    </row>
    <row r="33" spans="1:9" s="120" customFormat="1" x14ac:dyDescent="0.4">
      <c r="A33" s="120" t="s">
        <v>461</v>
      </c>
      <c r="C33" s="120">
        <f>-C18*0.1*0.2</f>
        <v>-120</v>
      </c>
    </row>
    <row r="34" spans="1:9" s="120" customFormat="1" x14ac:dyDescent="0.4">
      <c r="A34" s="120" t="s">
        <v>460</v>
      </c>
      <c r="C34" s="120">
        <f>+E24*D13/10000</f>
        <v>1400</v>
      </c>
    </row>
    <row r="35" spans="1:9" s="120" customFormat="1" ht="16.8" thickBot="1" x14ac:dyDescent="0.45">
      <c r="A35" s="120" t="s">
        <v>459</v>
      </c>
      <c r="C35" s="141">
        <f>+SUM(C30:C34)</f>
        <v>13280</v>
      </c>
      <c r="E35" s="141">
        <f>+E29</f>
        <v>14000</v>
      </c>
      <c r="G35" s="120" t="s">
        <v>444</v>
      </c>
      <c r="H35" s="123">
        <f>+E35-C35</f>
        <v>720</v>
      </c>
      <c r="I35" s="120" t="s">
        <v>443</v>
      </c>
    </row>
    <row r="36" spans="1:9" s="120" customFormat="1" ht="16.8" thickTop="1" x14ac:dyDescent="0.4"/>
    <row r="37" spans="1:9" s="120" customFormat="1" x14ac:dyDescent="0.4">
      <c r="A37" s="120" t="s">
        <v>333</v>
      </c>
      <c r="B37" s="120" t="s">
        <v>458</v>
      </c>
    </row>
    <row r="38" spans="1:9" s="120" customFormat="1" x14ac:dyDescent="0.4"/>
    <row r="39" spans="1:9" s="120" customFormat="1" x14ac:dyDescent="0.4">
      <c r="B39" s="120">
        <f>+E21</f>
        <v>12000</v>
      </c>
      <c r="C39" s="120" t="s">
        <v>457</v>
      </c>
      <c r="D39" s="143"/>
      <c r="E39" s="120">
        <f>E29</f>
        <v>14000</v>
      </c>
      <c r="F39" s="120" t="s">
        <v>454</v>
      </c>
      <c r="G39" s="120" t="s">
        <v>456</v>
      </c>
      <c r="H39" s="123">
        <f>+E40+1</f>
        <v>7001</v>
      </c>
      <c r="I39" s="120" t="s">
        <v>455</v>
      </c>
    </row>
    <row r="40" spans="1:9" s="120" customFormat="1" x14ac:dyDescent="0.4">
      <c r="C40" s="120" t="s">
        <v>454</v>
      </c>
      <c r="D40" s="120" t="s">
        <v>453</v>
      </c>
      <c r="E40" s="120">
        <v>7000</v>
      </c>
    </row>
    <row r="41" spans="1:9" s="120" customFormat="1" x14ac:dyDescent="0.4"/>
    <row r="42" spans="1:9" s="120" customFormat="1" x14ac:dyDescent="0.4">
      <c r="A42" s="120" t="s">
        <v>452</v>
      </c>
      <c r="E42" s="120" t="s">
        <v>451</v>
      </c>
      <c r="G42" s="120" t="s">
        <v>450</v>
      </c>
    </row>
    <row r="43" spans="1:9" s="120" customFormat="1" x14ac:dyDescent="0.4">
      <c r="A43" s="120" t="s">
        <v>449</v>
      </c>
      <c r="E43" s="120">
        <f>+E29</f>
        <v>14000</v>
      </c>
      <c r="G43" s="120">
        <f>-M13*M14/10000</f>
        <v>-9000</v>
      </c>
    </row>
    <row r="44" spans="1:9" s="120" customFormat="1" x14ac:dyDescent="0.4">
      <c r="A44" s="120" t="s">
        <v>448</v>
      </c>
      <c r="G44" s="120">
        <f>+N18*M13/10000</f>
        <v>2400</v>
      </c>
    </row>
    <row r="45" spans="1:9" s="120" customFormat="1" x14ac:dyDescent="0.4">
      <c r="A45" s="120" t="s">
        <v>447</v>
      </c>
      <c r="G45" s="120">
        <f>+N19*M13/10000</f>
        <v>4200</v>
      </c>
    </row>
    <row r="46" spans="1:9" s="120" customFormat="1" x14ac:dyDescent="0.4">
      <c r="A46" s="120" t="s">
        <v>446</v>
      </c>
      <c r="G46" s="120">
        <f>+N20*M13/10000</f>
        <v>1800</v>
      </c>
    </row>
    <row r="47" spans="1:9" s="120" customFormat="1" x14ac:dyDescent="0.4">
      <c r="E47" s="142">
        <f>+E43</f>
        <v>14000</v>
      </c>
      <c r="G47" s="142">
        <f>+SUM(G43:G46)</f>
        <v>-600</v>
      </c>
    </row>
    <row r="48" spans="1:9" s="120" customFormat="1" ht="16.8" thickBot="1" x14ac:dyDescent="0.45">
      <c r="F48" s="120" t="s">
        <v>445</v>
      </c>
      <c r="G48" s="141">
        <f>+E47+G47</f>
        <v>13400</v>
      </c>
    </row>
    <row r="49" spans="7:9" s="120" customFormat="1" ht="16.8" thickTop="1" x14ac:dyDescent="0.4"/>
    <row r="50" spans="7:9" s="120" customFormat="1" x14ac:dyDescent="0.4">
      <c r="G50" s="120" t="s">
        <v>444</v>
      </c>
      <c r="H50" s="123">
        <f>+G48-C35</f>
        <v>120</v>
      </c>
      <c r="I50" s="120" t="s">
        <v>443</v>
      </c>
    </row>
  </sheetData>
  <phoneticPr fontId="3"/>
  <pageMargins left="0.25" right="0.25" top="0.75" bottom="0.75" header="0.3" footer="0.3"/>
  <pageSetup paperSize="9" scale="7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8"/>
  <sheetViews>
    <sheetView zoomScale="90" zoomScaleNormal="90" workbookViewId="0">
      <selection activeCell="I27" sqref="I27"/>
    </sheetView>
  </sheetViews>
  <sheetFormatPr defaultColWidth="12" defaultRowHeight="16.2" x14ac:dyDescent="0.4"/>
  <cols>
    <col min="1" max="1" width="12.109375" style="4" customWidth="1"/>
    <col min="2" max="5" width="13.109375" style="4" customWidth="1"/>
    <col min="6" max="7" width="12.6640625" style="4" customWidth="1"/>
    <col min="8" max="10" width="13.109375" style="4" customWidth="1"/>
    <col min="11" max="11" width="12" style="4"/>
    <col min="12" max="12" width="11.88671875" style="4" customWidth="1"/>
    <col min="13" max="16384" width="12" style="4"/>
  </cols>
  <sheetData>
    <row r="1" spans="1:17" x14ac:dyDescent="0.4">
      <c r="A1" s="1" t="s">
        <v>302</v>
      </c>
      <c r="B1" s="2"/>
      <c r="C1" s="2"/>
      <c r="D1" s="2"/>
      <c r="E1" s="2"/>
      <c r="F1" s="2"/>
      <c r="G1" s="2"/>
      <c r="H1" s="2"/>
      <c r="I1" s="2"/>
      <c r="J1" s="2"/>
      <c r="K1" s="2"/>
      <c r="L1" s="2"/>
      <c r="M1" s="2"/>
      <c r="N1" s="2"/>
      <c r="O1" s="2"/>
      <c r="P1" s="2"/>
      <c r="Q1" s="3"/>
    </row>
    <row r="2" spans="1:17" x14ac:dyDescent="0.4">
      <c r="A2" s="5" t="s">
        <v>522</v>
      </c>
      <c r="B2" s="6"/>
      <c r="C2" s="6"/>
      <c r="D2" s="6"/>
      <c r="E2" s="6"/>
      <c r="F2" s="6"/>
      <c r="G2" s="6"/>
      <c r="H2" s="6"/>
      <c r="I2" s="6"/>
      <c r="J2" s="6"/>
      <c r="K2" s="6"/>
      <c r="L2" s="6"/>
      <c r="M2" s="6"/>
      <c r="N2" s="6"/>
      <c r="O2" s="6"/>
      <c r="P2" s="6"/>
      <c r="Q2" s="7"/>
    </row>
    <row r="3" spans="1:17" x14ac:dyDescent="0.4">
      <c r="A3" s="8" t="s">
        <v>521</v>
      </c>
      <c r="B3" s="9"/>
      <c r="C3" s="9"/>
      <c r="D3" s="9"/>
      <c r="E3" s="9"/>
      <c r="F3" s="9"/>
      <c r="G3" s="9"/>
      <c r="H3" s="9"/>
      <c r="I3" s="9"/>
      <c r="J3" s="9"/>
      <c r="K3" s="9"/>
      <c r="L3" s="9"/>
      <c r="M3" s="9"/>
      <c r="N3" s="9"/>
      <c r="O3" s="9"/>
      <c r="P3" s="9"/>
      <c r="Q3" s="10"/>
    </row>
    <row r="4" spans="1:17" s="12" customFormat="1" x14ac:dyDescent="0.4">
      <c r="A4" s="11"/>
      <c r="B4" s="11"/>
      <c r="C4" s="11"/>
      <c r="D4" s="11"/>
      <c r="E4" s="11"/>
      <c r="F4" s="11"/>
      <c r="G4" s="11"/>
      <c r="H4" s="11"/>
      <c r="I4" s="11"/>
      <c r="J4" s="11"/>
      <c r="K4" s="11"/>
      <c r="L4" s="11"/>
      <c r="M4" s="11"/>
      <c r="N4" s="11"/>
      <c r="O4" s="11"/>
      <c r="P4" s="11"/>
      <c r="Q4" s="11"/>
    </row>
    <row r="5" spans="1:17" ht="18" customHeight="1" x14ac:dyDescent="0.4">
      <c r="A5" s="13" t="s">
        <v>0</v>
      </c>
      <c r="B5" s="14"/>
      <c r="C5" s="14"/>
      <c r="D5" s="14"/>
      <c r="E5" s="14"/>
      <c r="F5" s="14"/>
      <c r="G5" s="14"/>
      <c r="H5" s="14"/>
      <c r="I5" s="14"/>
      <c r="J5" s="14"/>
      <c r="K5" s="14"/>
      <c r="L5" s="14"/>
      <c r="M5" s="14"/>
      <c r="N5" s="14"/>
      <c r="O5" s="14"/>
      <c r="P5" s="14"/>
      <c r="Q5" s="15"/>
    </row>
    <row r="6" spans="1:17" x14ac:dyDescent="0.4">
      <c r="A6" s="16" t="s">
        <v>520</v>
      </c>
      <c r="B6" s="17"/>
      <c r="C6" s="17"/>
      <c r="D6" s="17"/>
      <c r="E6" s="17"/>
      <c r="F6" s="17"/>
      <c r="G6" s="17"/>
      <c r="H6" s="17"/>
      <c r="I6" s="17"/>
      <c r="J6" s="17"/>
      <c r="K6" s="17"/>
      <c r="L6" s="17"/>
      <c r="M6" s="17"/>
      <c r="N6" s="17"/>
      <c r="O6" s="17"/>
      <c r="P6" s="17"/>
      <c r="Q6" s="18"/>
    </row>
    <row r="7" spans="1:17" x14ac:dyDescent="0.4">
      <c r="A7" s="19" t="s">
        <v>519</v>
      </c>
      <c r="B7" s="20"/>
      <c r="C7" s="20"/>
      <c r="D7" s="20"/>
      <c r="E7" s="20"/>
      <c r="F7" s="20"/>
      <c r="G7" s="20"/>
      <c r="H7" s="20"/>
      <c r="I7" s="20"/>
      <c r="J7" s="20"/>
      <c r="K7" s="20"/>
      <c r="L7" s="20"/>
      <c r="M7" s="20"/>
      <c r="N7" s="20"/>
      <c r="O7" s="20"/>
      <c r="P7" s="20"/>
      <c r="Q7" s="21"/>
    </row>
    <row r="8" spans="1:17" s="120" customFormat="1" x14ac:dyDescent="0.4"/>
    <row r="10" spans="1:17" s="120" customFormat="1" x14ac:dyDescent="0.4">
      <c r="A10" s="120" t="s">
        <v>349</v>
      </c>
    </row>
    <row r="11" spans="1:17" s="120" customFormat="1" x14ac:dyDescent="0.4"/>
    <row r="12" spans="1:17" s="120" customFormat="1" x14ac:dyDescent="0.4">
      <c r="A12" s="120" t="s">
        <v>518</v>
      </c>
      <c r="F12" s="120" t="s">
        <v>239</v>
      </c>
      <c r="G12" s="120" t="s">
        <v>483</v>
      </c>
      <c r="H12" s="120" t="s">
        <v>517</v>
      </c>
      <c r="I12" s="120" t="s">
        <v>232</v>
      </c>
    </row>
    <row r="13" spans="1:17" s="120" customFormat="1" x14ac:dyDescent="0.4">
      <c r="D13" s="120" t="s">
        <v>516</v>
      </c>
      <c r="F13" s="120">
        <v>30000</v>
      </c>
      <c r="H13" s="120">
        <v>10000</v>
      </c>
      <c r="I13" s="120">
        <v>8500</v>
      </c>
    </row>
    <row r="14" spans="1:17" s="120" customFormat="1" x14ac:dyDescent="0.4">
      <c r="D14" s="120" t="s">
        <v>515</v>
      </c>
      <c r="F14" s="120">
        <v>5000</v>
      </c>
      <c r="H14" s="120">
        <v>15000</v>
      </c>
      <c r="I14" s="120">
        <v>10000</v>
      </c>
    </row>
    <row r="15" spans="1:17" s="120" customFormat="1" x14ac:dyDescent="0.4">
      <c r="D15" s="120" t="s">
        <v>498</v>
      </c>
      <c r="E15" s="120">
        <v>30000</v>
      </c>
      <c r="F15" s="120">
        <v>10000</v>
      </c>
      <c r="G15" s="120">
        <v>20000</v>
      </c>
    </row>
    <row r="16" spans="1:17" s="120" customFormat="1" x14ac:dyDescent="0.4">
      <c r="A16" s="120" t="s">
        <v>495</v>
      </c>
      <c r="C16" s="120">
        <v>18000</v>
      </c>
      <c r="F16" s="148">
        <f>+C16*F15/E15</f>
        <v>6000</v>
      </c>
      <c r="G16" s="148">
        <f>+C16*G15/E15</f>
        <v>12000</v>
      </c>
    </row>
    <row r="17" spans="1:12" s="120" customFormat="1" x14ac:dyDescent="0.4"/>
    <row r="18" spans="1:12" s="120" customFormat="1" x14ac:dyDescent="0.4">
      <c r="D18" s="120" t="s">
        <v>498</v>
      </c>
      <c r="G18" s="120">
        <v>20000</v>
      </c>
      <c r="H18" s="120">
        <v>15000</v>
      </c>
      <c r="I18" s="120">
        <v>5000</v>
      </c>
    </row>
    <row r="19" spans="1:12" s="120" customFormat="1" x14ac:dyDescent="0.4">
      <c r="A19" s="120" t="s">
        <v>494</v>
      </c>
      <c r="C19" s="120">
        <v>8400</v>
      </c>
      <c r="G19" s="120">
        <f>+C19+G16</f>
        <v>20400</v>
      </c>
      <c r="H19" s="148">
        <f>+$G$19*H18/$G$18</f>
        <v>15300</v>
      </c>
      <c r="I19" s="148">
        <f>+$G$19*I18/$G$18</f>
        <v>5100</v>
      </c>
    </row>
    <row r="20" spans="1:12" s="120" customFormat="1" x14ac:dyDescent="0.4">
      <c r="A20" s="120" t="s">
        <v>514</v>
      </c>
      <c r="F20" s="148">
        <v>2400</v>
      </c>
      <c r="H20" s="148">
        <v>1200</v>
      </c>
      <c r="I20" s="148">
        <v>1800</v>
      </c>
    </row>
    <row r="21" spans="1:12" s="120" customFormat="1" x14ac:dyDescent="0.4">
      <c r="A21" s="120" t="s">
        <v>513</v>
      </c>
      <c r="F21" s="120">
        <f>+F16+F20</f>
        <v>8400</v>
      </c>
      <c r="H21" s="120">
        <f>+H19+H20</f>
        <v>16500</v>
      </c>
      <c r="I21" s="120">
        <f>+I19+I20</f>
        <v>6900</v>
      </c>
    </row>
    <row r="22" spans="1:12" s="120" customFormat="1" x14ac:dyDescent="0.4">
      <c r="A22" s="120" t="s">
        <v>512</v>
      </c>
      <c r="F22" s="120">
        <f>+F21*10000/F14</f>
        <v>16800</v>
      </c>
      <c r="H22" s="120">
        <f>+H21*10000/H14</f>
        <v>11000</v>
      </c>
      <c r="I22" s="120">
        <f>+I21*10000/I14</f>
        <v>6900</v>
      </c>
      <c r="J22" s="120" t="s">
        <v>358</v>
      </c>
    </row>
    <row r="23" spans="1:12" s="120" customFormat="1" x14ac:dyDescent="0.4">
      <c r="A23" s="120" t="s">
        <v>511</v>
      </c>
      <c r="F23" s="120">
        <f>+F13*F14/10000</f>
        <v>15000</v>
      </c>
      <c r="H23" s="120">
        <f>+H13*H14/10000</f>
        <v>15000</v>
      </c>
      <c r="I23" s="120">
        <f>+I13*I14/10000</f>
        <v>8500</v>
      </c>
    </row>
    <row r="24" spans="1:12" s="120" customFormat="1" ht="16.8" thickBot="1" x14ac:dyDescent="0.45">
      <c r="A24" s="120" t="s">
        <v>510</v>
      </c>
      <c r="F24" s="147">
        <f>+F23-F21</f>
        <v>6600</v>
      </c>
      <c r="G24" s="141"/>
      <c r="H24" s="147">
        <f>+H23-H21</f>
        <v>-1500</v>
      </c>
      <c r="I24" s="147">
        <f>+I23-I21</f>
        <v>1600</v>
      </c>
      <c r="J24" s="145">
        <f>+SUM(F24:I24)</f>
        <v>6700</v>
      </c>
      <c r="L24" s="120" t="s">
        <v>509</v>
      </c>
    </row>
    <row r="25" spans="1:12" s="120" customFormat="1" ht="16.8" thickTop="1" x14ac:dyDescent="0.4"/>
    <row r="26" spans="1:12" s="120" customFormat="1" x14ac:dyDescent="0.4">
      <c r="A26" s="120" t="s">
        <v>345</v>
      </c>
      <c r="B26" s="120" t="s">
        <v>508</v>
      </c>
    </row>
    <row r="27" spans="1:12" s="120" customFormat="1" x14ac:dyDescent="0.4">
      <c r="F27" s="120" t="s">
        <v>239</v>
      </c>
      <c r="G27" s="120" t="s">
        <v>483</v>
      </c>
      <c r="H27" s="120" t="s">
        <v>285</v>
      </c>
      <c r="I27" s="120" t="s">
        <v>232</v>
      </c>
    </row>
    <row r="28" spans="1:12" s="120" customFormat="1" x14ac:dyDescent="0.4">
      <c r="A28" s="120" t="s">
        <v>507</v>
      </c>
      <c r="F28" s="120">
        <f>+F23</f>
        <v>15000</v>
      </c>
      <c r="H28" s="120">
        <f>+H23</f>
        <v>15000</v>
      </c>
      <c r="I28" s="120">
        <f>+I23</f>
        <v>8500</v>
      </c>
    </row>
    <row r="29" spans="1:12" s="120" customFormat="1" x14ac:dyDescent="0.4">
      <c r="A29" s="120" t="s">
        <v>481</v>
      </c>
      <c r="F29" s="120">
        <f>+F20</f>
        <v>2400</v>
      </c>
      <c r="H29" s="120">
        <f>+H20</f>
        <v>1200</v>
      </c>
      <c r="I29" s="120">
        <f>+I20</f>
        <v>1800</v>
      </c>
    </row>
    <row r="30" spans="1:12" s="120" customFormat="1" x14ac:dyDescent="0.4">
      <c r="A30" s="120" t="s">
        <v>506</v>
      </c>
      <c r="F30" s="120">
        <f>+F28-F29</f>
        <v>12600</v>
      </c>
      <c r="H30" s="120">
        <f>+H28-H29</f>
        <v>13800</v>
      </c>
      <c r="I30" s="120">
        <f>+I28-I29</f>
        <v>6700</v>
      </c>
    </row>
    <row r="31" spans="1:12" s="120" customFormat="1" x14ac:dyDescent="0.4">
      <c r="A31" s="120" t="s">
        <v>505</v>
      </c>
      <c r="H31" s="120">
        <f>+H30-H34</f>
        <v>8145.3658536585363</v>
      </c>
      <c r="I31" s="120">
        <f>+I30-I34</f>
        <v>3954.6341463414633</v>
      </c>
    </row>
    <row r="32" spans="1:12" s="120" customFormat="1" x14ac:dyDescent="0.4"/>
    <row r="33" spans="1:12" s="120" customFormat="1" x14ac:dyDescent="0.4">
      <c r="A33" s="120" t="s">
        <v>495</v>
      </c>
      <c r="C33" s="120">
        <f>+C16</f>
        <v>18000</v>
      </c>
      <c r="F33" s="120">
        <f>+$C$33*F30/SUM($F$30,$H$31,$I$31)</f>
        <v>9182.1862348178129</v>
      </c>
      <c r="H33" s="120">
        <f>+$C$33*H31/SUM($F$30,$H$31,$I$31)</f>
        <v>5935.8941443665453</v>
      </c>
      <c r="I33" s="120">
        <f>+$C$33*I31/SUM($F$30,$H$31,$I$31)</f>
        <v>2881.9196208156409</v>
      </c>
    </row>
    <row r="34" spans="1:12" s="120" customFormat="1" x14ac:dyDescent="0.4">
      <c r="A34" s="120" t="s">
        <v>494</v>
      </c>
      <c r="C34" s="120">
        <f>+C19</f>
        <v>8400</v>
      </c>
      <c r="H34" s="120">
        <f>+C34*H30/SUM($H$30:$I$30)</f>
        <v>5654.6341463414637</v>
      </c>
      <c r="I34" s="120">
        <f>+C34*I30/SUM($H$30:$I$30)</f>
        <v>2745.3658536585367</v>
      </c>
    </row>
    <row r="35" spans="1:12" s="120" customFormat="1" ht="16.8" thickBot="1" x14ac:dyDescent="0.45">
      <c r="A35" s="120" t="s">
        <v>493</v>
      </c>
      <c r="F35" s="147">
        <f>+F30-(F33+F34)</f>
        <v>3417.8137651821871</v>
      </c>
      <c r="G35" s="147"/>
      <c r="H35" s="147">
        <f>+H30-(H33+H34)</f>
        <v>2209.4717092919909</v>
      </c>
      <c r="I35" s="147">
        <f>+I30-(I33+I34)</f>
        <v>1072.714525525822</v>
      </c>
      <c r="J35" s="145">
        <f>+SUM(F35:I35)</f>
        <v>6700</v>
      </c>
      <c r="L35" s="120" t="s">
        <v>504</v>
      </c>
    </row>
    <row r="36" spans="1:12" s="120" customFormat="1" ht="16.8" thickTop="1" x14ac:dyDescent="0.4"/>
    <row r="37" spans="1:12" s="120" customFormat="1" x14ac:dyDescent="0.4">
      <c r="A37" s="120" t="s">
        <v>333</v>
      </c>
      <c r="B37" s="120" t="s">
        <v>503</v>
      </c>
      <c r="F37" s="120" t="s">
        <v>239</v>
      </c>
      <c r="G37" s="120" t="s">
        <v>502</v>
      </c>
      <c r="H37" s="120" t="s">
        <v>501</v>
      </c>
      <c r="I37" s="120" t="s">
        <v>232</v>
      </c>
    </row>
    <row r="38" spans="1:12" s="120" customFormat="1" x14ac:dyDescent="0.4">
      <c r="A38" s="120" t="s">
        <v>500</v>
      </c>
      <c r="F38" s="120">
        <v>12000</v>
      </c>
      <c r="G38" s="120">
        <v>6000</v>
      </c>
      <c r="H38" s="120">
        <v>9500</v>
      </c>
      <c r="I38" s="120">
        <v>15500</v>
      </c>
      <c r="J38" s="120" t="s">
        <v>499</v>
      </c>
    </row>
    <row r="39" spans="1:12" s="120" customFormat="1" x14ac:dyDescent="0.4">
      <c r="A39" s="120" t="s">
        <v>498</v>
      </c>
      <c r="F39" s="120">
        <v>10000</v>
      </c>
      <c r="G39" s="120">
        <v>20000</v>
      </c>
      <c r="H39" s="120">
        <v>15000</v>
      </c>
      <c r="I39" s="120">
        <v>5000</v>
      </c>
      <c r="J39" s="120" t="s">
        <v>497</v>
      </c>
    </row>
    <row r="40" spans="1:12" s="120" customFormat="1" x14ac:dyDescent="0.4">
      <c r="A40" s="120" t="s">
        <v>496</v>
      </c>
      <c r="F40" s="120">
        <f>+F38*F39/10000</f>
        <v>12000</v>
      </c>
      <c r="G40" s="120">
        <f>+G38*G39/10000</f>
        <v>12000</v>
      </c>
      <c r="H40" s="120">
        <f>+H38*H39/10000</f>
        <v>14250</v>
      </c>
      <c r="I40" s="120">
        <f>+I38*I39/10000</f>
        <v>7750</v>
      </c>
      <c r="J40" s="120" t="s">
        <v>195</v>
      </c>
    </row>
    <row r="41" spans="1:12" s="120" customFormat="1" x14ac:dyDescent="0.4"/>
    <row r="42" spans="1:12" s="120" customFormat="1" x14ac:dyDescent="0.4">
      <c r="A42" s="120" t="s">
        <v>495</v>
      </c>
      <c r="C42" s="120">
        <v>18000</v>
      </c>
      <c r="F42" s="120">
        <f>+$C$42*F40/SUM($F$40:$G$40)</f>
        <v>9000</v>
      </c>
      <c r="G42" s="120">
        <f>+$C$42*G40/SUM($F$40:$G$40)</f>
        <v>9000</v>
      </c>
    </row>
    <row r="43" spans="1:12" s="120" customFormat="1" x14ac:dyDescent="0.4">
      <c r="A43" s="120" t="s">
        <v>494</v>
      </c>
      <c r="C43" s="120">
        <v>8400</v>
      </c>
      <c r="H43" s="120">
        <f>+($C$43+$G$42)*H40/SUM($H$40:$I$40)</f>
        <v>11270.454545454546</v>
      </c>
      <c r="I43" s="120">
        <f>+($C$43+$G$42)*I40/SUM($H$40:$I$40)</f>
        <v>6129.545454545455</v>
      </c>
    </row>
    <row r="44" spans="1:12" s="120" customFormat="1" x14ac:dyDescent="0.4">
      <c r="A44" s="120" t="s">
        <v>481</v>
      </c>
      <c r="F44" s="120">
        <f>+F29</f>
        <v>2400</v>
      </c>
      <c r="H44" s="120">
        <f>+H29</f>
        <v>1200</v>
      </c>
      <c r="I44" s="120">
        <f>+I29</f>
        <v>1800</v>
      </c>
    </row>
    <row r="45" spans="1:12" s="120" customFormat="1" ht="16.8" thickBot="1" x14ac:dyDescent="0.45">
      <c r="A45" s="120" t="s">
        <v>493</v>
      </c>
      <c r="F45" s="147">
        <f>+F23-SUM(F42:F44)</f>
        <v>3600</v>
      </c>
      <c r="G45" s="147"/>
      <c r="H45" s="146">
        <f>+H23-SUM(H42:H44)</f>
        <v>2529.545454545454</v>
      </c>
      <c r="I45" s="146">
        <f>+I23-SUM(I42:I44)</f>
        <v>570.45454545454504</v>
      </c>
      <c r="J45" s="145">
        <f>+SUM(F45:I45)</f>
        <v>6699.9999999999991</v>
      </c>
      <c r="L45" s="120" t="s">
        <v>492</v>
      </c>
    </row>
    <row r="46" spans="1:12" s="120" customFormat="1" ht="16.8" thickTop="1" x14ac:dyDescent="0.4"/>
    <row r="47" spans="1:12" s="120" customFormat="1" x14ac:dyDescent="0.4">
      <c r="A47" s="120" t="s">
        <v>452</v>
      </c>
    </row>
    <row r="48" spans="1:12" s="120" customFormat="1" x14ac:dyDescent="0.4">
      <c r="B48" s="120" t="s">
        <v>491</v>
      </c>
    </row>
    <row r="49" spans="1:15" s="120" customFormat="1" x14ac:dyDescent="0.4">
      <c r="A49" s="120" t="s">
        <v>490</v>
      </c>
      <c r="G49" s="120" t="s">
        <v>489</v>
      </c>
      <c r="H49" s="120" t="s">
        <v>285</v>
      </c>
    </row>
    <row r="50" spans="1:15" s="120" customFormat="1" x14ac:dyDescent="0.4">
      <c r="B50" s="120" t="s">
        <v>400</v>
      </c>
      <c r="G50" s="120">
        <f>+H40</f>
        <v>14250</v>
      </c>
      <c r="H50" s="120">
        <f>+H23</f>
        <v>15000</v>
      </c>
    </row>
    <row r="51" spans="1:15" s="120" customFormat="1" x14ac:dyDescent="0.4">
      <c r="B51" s="120" t="s">
        <v>481</v>
      </c>
      <c r="H51" s="120">
        <f>+H44</f>
        <v>1200</v>
      </c>
    </row>
    <row r="52" spans="1:15" s="120" customFormat="1" x14ac:dyDescent="0.4">
      <c r="B52" s="120" t="s">
        <v>419</v>
      </c>
      <c r="G52" s="120">
        <f>+G50</f>
        <v>14250</v>
      </c>
      <c r="H52" s="120">
        <f>+H50-H51</f>
        <v>13800</v>
      </c>
      <c r="J52" s="120" t="s">
        <v>488</v>
      </c>
      <c r="K52" s="122">
        <f>+G52-H52</f>
        <v>450</v>
      </c>
      <c r="L52" s="120" t="s">
        <v>477</v>
      </c>
      <c r="N52" s="123">
        <f>+$J$45+K52</f>
        <v>7149.9999999999991</v>
      </c>
      <c r="O52" s="120" t="s">
        <v>195</v>
      </c>
    </row>
    <row r="53" spans="1:15" s="120" customFormat="1" x14ac:dyDescent="0.4"/>
    <row r="54" spans="1:15" s="120" customFormat="1" x14ac:dyDescent="0.4">
      <c r="A54" s="120" t="s">
        <v>487</v>
      </c>
      <c r="H54" s="120" t="s">
        <v>486</v>
      </c>
      <c r="I54" s="120" t="s">
        <v>232</v>
      </c>
    </row>
    <row r="55" spans="1:15" s="120" customFormat="1" x14ac:dyDescent="0.4">
      <c r="B55" s="120" t="s">
        <v>400</v>
      </c>
      <c r="H55" s="120">
        <f>+I40</f>
        <v>7750</v>
      </c>
      <c r="I55" s="120">
        <f>+I23</f>
        <v>8500</v>
      </c>
    </row>
    <row r="56" spans="1:15" s="120" customFormat="1" x14ac:dyDescent="0.4">
      <c r="B56" s="120" t="s">
        <v>481</v>
      </c>
      <c r="I56" s="120">
        <f>+I44</f>
        <v>1800</v>
      </c>
    </row>
    <row r="57" spans="1:15" s="120" customFormat="1" x14ac:dyDescent="0.4">
      <c r="B57" s="120" t="s">
        <v>419</v>
      </c>
      <c r="H57" s="120">
        <f>+H55</f>
        <v>7750</v>
      </c>
      <c r="I57" s="120">
        <f>+I55-I56</f>
        <v>6700</v>
      </c>
      <c r="J57" s="120" t="s">
        <v>485</v>
      </c>
      <c r="K57" s="122">
        <f>+H57-I57</f>
        <v>1050</v>
      </c>
      <c r="L57" s="120" t="s">
        <v>477</v>
      </c>
      <c r="N57" s="123">
        <f>+$J$45+K57</f>
        <v>7749.9999999999991</v>
      </c>
      <c r="O57" s="120" t="s">
        <v>195</v>
      </c>
    </row>
    <row r="58" spans="1:15" s="120" customFormat="1" x14ac:dyDescent="0.4"/>
    <row r="59" spans="1:15" s="120" customFormat="1" x14ac:dyDescent="0.4">
      <c r="A59" s="120" t="s">
        <v>484</v>
      </c>
      <c r="G59" s="120" t="s">
        <v>483</v>
      </c>
      <c r="H59" s="120" t="s">
        <v>482</v>
      </c>
    </row>
    <row r="60" spans="1:15" s="120" customFormat="1" x14ac:dyDescent="0.4">
      <c r="B60" s="120" t="s">
        <v>400</v>
      </c>
      <c r="G60" s="120">
        <f>+G40</f>
        <v>12000</v>
      </c>
      <c r="H60" s="120">
        <f>+H23+I23</f>
        <v>23500</v>
      </c>
    </row>
    <row r="61" spans="1:15" s="120" customFormat="1" x14ac:dyDescent="0.4">
      <c r="B61" s="120" t="s">
        <v>481</v>
      </c>
      <c r="H61" s="120">
        <f>+C43+H44+I44</f>
        <v>11400</v>
      </c>
    </row>
    <row r="62" spans="1:15" s="120" customFormat="1" x14ac:dyDescent="0.4">
      <c r="B62" s="120" t="s">
        <v>419</v>
      </c>
      <c r="G62" s="120">
        <f>+G60</f>
        <v>12000</v>
      </c>
      <c r="H62" s="120">
        <f>+H60-H61</f>
        <v>12100</v>
      </c>
      <c r="J62" s="120" t="s">
        <v>480</v>
      </c>
      <c r="K62" s="122">
        <f>+G62-H62</f>
        <v>-100</v>
      </c>
      <c r="L62" s="120" t="s">
        <v>477</v>
      </c>
      <c r="N62" s="123">
        <f>+$J$45+K62</f>
        <v>6599.9999999999991</v>
      </c>
      <c r="O62" s="120" t="s">
        <v>195</v>
      </c>
    </row>
    <row r="63" spans="1:15" s="120" customFormat="1" x14ac:dyDescent="0.4"/>
    <row r="64" spans="1:15" s="120" customFormat="1" x14ac:dyDescent="0.4">
      <c r="A64" s="120" t="s">
        <v>479</v>
      </c>
    </row>
    <row r="65" spans="10:15" s="120" customFormat="1" x14ac:dyDescent="0.4">
      <c r="J65" s="120" t="s">
        <v>478</v>
      </c>
      <c r="K65" s="122">
        <f>+K52+K57</f>
        <v>1500</v>
      </c>
      <c r="L65" s="120" t="s">
        <v>477</v>
      </c>
      <c r="N65" s="123">
        <f>+$J$45+K65</f>
        <v>8200</v>
      </c>
      <c r="O65" s="120" t="s">
        <v>195</v>
      </c>
    </row>
    <row r="66" spans="10:15" s="120" customFormat="1" x14ac:dyDescent="0.4"/>
    <row r="67" spans="10:15" s="120" customFormat="1" x14ac:dyDescent="0.4"/>
    <row r="68" spans="10:15" s="120" customFormat="1" x14ac:dyDescent="0.4"/>
  </sheetData>
  <phoneticPr fontId="3"/>
  <pageMargins left="0.25" right="0.25" top="0.75" bottom="0.75" header="0.3" footer="0.3"/>
  <pageSetup paperSize="9" scale="7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2"/>
  <sheetViews>
    <sheetView zoomScale="90" zoomScaleNormal="90" workbookViewId="0">
      <selection activeCell="I27" sqref="I27"/>
    </sheetView>
  </sheetViews>
  <sheetFormatPr defaultColWidth="12" defaultRowHeight="16.2" x14ac:dyDescent="0.4"/>
  <cols>
    <col min="1" max="1" width="12.109375" style="4" customWidth="1"/>
    <col min="2" max="5" width="13.109375" style="4" customWidth="1"/>
    <col min="6" max="7" width="12.6640625" style="4" customWidth="1"/>
    <col min="8" max="10" width="13.109375" style="4" customWidth="1"/>
    <col min="11" max="11" width="12" style="4"/>
    <col min="12" max="12" width="11.88671875" style="4" customWidth="1"/>
    <col min="13" max="16384" width="12" style="4"/>
  </cols>
  <sheetData>
    <row r="1" spans="1:17" x14ac:dyDescent="0.4">
      <c r="A1" s="1" t="s">
        <v>302</v>
      </c>
      <c r="B1" s="2"/>
      <c r="C1" s="2"/>
      <c r="D1" s="2"/>
      <c r="E1" s="2"/>
      <c r="F1" s="2"/>
      <c r="G1" s="2"/>
      <c r="H1" s="2"/>
      <c r="I1" s="2"/>
      <c r="J1" s="2"/>
      <c r="K1" s="2"/>
      <c r="L1" s="2"/>
      <c r="M1" s="2"/>
      <c r="N1" s="2"/>
      <c r="O1" s="2"/>
      <c r="P1" s="2"/>
      <c r="Q1" s="3"/>
    </row>
    <row r="2" spans="1:17" x14ac:dyDescent="0.4">
      <c r="A2" s="5" t="s">
        <v>538</v>
      </c>
      <c r="B2" s="6"/>
      <c r="C2" s="6"/>
      <c r="D2" s="6"/>
      <c r="E2" s="6"/>
      <c r="F2" s="6"/>
      <c r="G2" s="6"/>
      <c r="H2" s="6"/>
      <c r="I2" s="6"/>
      <c r="J2" s="6"/>
      <c r="K2" s="6"/>
      <c r="L2" s="6"/>
      <c r="M2" s="6"/>
      <c r="N2" s="6"/>
      <c r="O2" s="6"/>
      <c r="P2" s="6"/>
      <c r="Q2" s="7"/>
    </row>
    <row r="3" spans="1:17" x14ac:dyDescent="0.4">
      <c r="A3" s="8" t="s">
        <v>537</v>
      </c>
      <c r="B3" s="9"/>
      <c r="C3" s="9"/>
      <c r="D3" s="9"/>
      <c r="E3" s="9"/>
      <c r="F3" s="9"/>
      <c r="G3" s="9"/>
      <c r="H3" s="9"/>
      <c r="I3" s="9"/>
      <c r="J3" s="9"/>
      <c r="K3" s="9"/>
      <c r="L3" s="9"/>
      <c r="M3" s="9"/>
      <c r="N3" s="9"/>
      <c r="O3" s="9"/>
      <c r="P3" s="9"/>
      <c r="Q3" s="10"/>
    </row>
    <row r="4" spans="1:17" s="12" customFormat="1" x14ac:dyDescent="0.4">
      <c r="A4" s="11"/>
      <c r="B4" s="11"/>
      <c r="C4" s="11"/>
      <c r="D4" s="11"/>
      <c r="E4" s="11"/>
      <c r="F4" s="11"/>
      <c r="G4" s="11"/>
      <c r="H4" s="11"/>
      <c r="I4" s="11"/>
      <c r="J4" s="11"/>
      <c r="K4" s="11"/>
      <c r="L4" s="11"/>
      <c r="M4" s="11"/>
      <c r="N4" s="11"/>
      <c r="O4" s="11"/>
      <c r="P4" s="11"/>
      <c r="Q4" s="11"/>
    </row>
    <row r="5" spans="1:17" ht="18" customHeight="1" x14ac:dyDescent="0.4">
      <c r="A5" s="13" t="s">
        <v>0</v>
      </c>
      <c r="B5" s="14"/>
      <c r="C5" s="14"/>
      <c r="D5" s="14"/>
      <c r="E5" s="14"/>
      <c r="F5" s="14"/>
      <c r="G5" s="14"/>
      <c r="H5" s="14"/>
      <c r="I5" s="14"/>
      <c r="J5" s="14"/>
      <c r="K5" s="14"/>
      <c r="L5" s="14"/>
      <c r="M5" s="14"/>
      <c r="N5" s="14"/>
      <c r="O5" s="14"/>
      <c r="P5" s="14"/>
      <c r="Q5" s="15"/>
    </row>
    <row r="6" spans="1:17" x14ac:dyDescent="0.4">
      <c r="A6" s="16" t="s">
        <v>536</v>
      </c>
      <c r="B6" s="17"/>
      <c r="C6" s="17"/>
      <c r="D6" s="17"/>
      <c r="E6" s="17"/>
      <c r="F6" s="17"/>
      <c r="G6" s="17"/>
      <c r="H6" s="17"/>
      <c r="I6" s="17"/>
      <c r="J6" s="17"/>
      <c r="K6" s="17"/>
      <c r="L6" s="17"/>
      <c r="M6" s="17"/>
      <c r="N6" s="17"/>
      <c r="O6" s="17"/>
      <c r="P6" s="17"/>
      <c r="Q6" s="18"/>
    </row>
    <row r="7" spans="1:17" x14ac:dyDescent="0.4">
      <c r="A7" s="19"/>
      <c r="B7" s="20"/>
      <c r="C7" s="20"/>
      <c r="D7" s="20"/>
      <c r="E7" s="20"/>
      <c r="F7" s="20"/>
      <c r="G7" s="20"/>
      <c r="H7" s="20"/>
      <c r="I7" s="20"/>
      <c r="J7" s="20"/>
      <c r="K7" s="20"/>
      <c r="L7" s="20"/>
      <c r="M7" s="20"/>
      <c r="N7" s="20"/>
      <c r="O7" s="20"/>
      <c r="P7" s="20"/>
      <c r="Q7" s="21"/>
    </row>
    <row r="8" spans="1:17" s="120" customFormat="1" x14ac:dyDescent="0.4"/>
    <row r="9" spans="1:17" x14ac:dyDescent="0.4">
      <c r="D9" s="4" t="s">
        <v>535</v>
      </c>
    </row>
    <row r="10" spans="1:17" s="120" customFormat="1" x14ac:dyDescent="0.4">
      <c r="A10" s="120" t="s">
        <v>400</v>
      </c>
      <c r="D10" s="120">
        <v>300000</v>
      </c>
    </row>
    <row r="11" spans="1:17" s="120" customFormat="1" x14ac:dyDescent="0.4">
      <c r="A11" s="120" t="s">
        <v>534</v>
      </c>
      <c r="C11" s="138">
        <v>180000</v>
      </c>
      <c r="D11" s="138"/>
    </row>
    <row r="12" spans="1:17" s="120" customFormat="1" x14ac:dyDescent="0.4">
      <c r="A12" s="120" t="s">
        <v>533</v>
      </c>
      <c r="D12" s="120">
        <f>+D10-C11</f>
        <v>120000</v>
      </c>
    </row>
    <row r="13" spans="1:17" x14ac:dyDescent="0.4">
      <c r="A13" s="4" t="s">
        <v>532</v>
      </c>
    </row>
    <row r="14" spans="1:17" x14ac:dyDescent="0.4">
      <c r="A14" s="4" t="s">
        <v>531</v>
      </c>
      <c r="C14" s="4">
        <v>39000</v>
      </c>
    </row>
    <row r="15" spans="1:17" x14ac:dyDescent="0.4">
      <c r="A15" s="4" t="s">
        <v>530</v>
      </c>
      <c r="C15" s="42">
        <v>3000</v>
      </c>
      <c r="D15" s="42">
        <f>+SUM(C14:C15)</f>
        <v>42000</v>
      </c>
    </row>
    <row r="16" spans="1:17" x14ac:dyDescent="0.4">
      <c r="A16" s="4" t="s">
        <v>529</v>
      </c>
      <c r="D16" s="149">
        <f>+D12-D15</f>
        <v>78000</v>
      </c>
      <c r="E16" s="4" t="s">
        <v>528</v>
      </c>
    </row>
    <row r="17" spans="1:5" x14ac:dyDescent="0.4">
      <c r="E17" s="4" t="s">
        <v>527</v>
      </c>
    </row>
    <row r="18" spans="1:5" x14ac:dyDescent="0.4">
      <c r="A18" s="4" t="s">
        <v>526</v>
      </c>
    </row>
    <row r="19" spans="1:5" x14ac:dyDescent="0.4">
      <c r="A19" s="4" t="s">
        <v>525</v>
      </c>
      <c r="C19" s="4">
        <v>48000</v>
      </c>
    </row>
    <row r="20" spans="1:5" x14ac:dyDescent="0.4">
      <c r="A20" s="4" t="s">
        <v>524</v>
      </c>
      <c r="C20" s="4">
        <v>13500</v>
      </c>
    </row>
    <row r="21" spans="1:5" x14ac:dyDescent="0.4">
      <c r="A21" s="4" t="s">
        <v>523</v>
      </c>
      <c r="C21" s="42">
        <v>64500</v>
      </c>
      <c r="D21" s="42">
        <f>+SUM(C19:C21)</f>
        <v>126000</v>
      </c>
    </row>
    <row r="22" spans="1:5" x14ac:dyDescent="0.4">
      <c r="A22" s="4" t="s">
        <v>393</v>
      </c>
      <c r="D22" s="136">
        <f>+D16-D21</f>
        <v>-48000</v>
      </c>
    </row>
  </sheetData>
  <phoneticPr fontId="3"/>
  <pageMargins left="0.25" right="0.25" top="0.75" bottom="0.75" header="0.3" footer="0.3"/>
  <pageSetup paperSize="9" scale="74"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21</vt:i4>
      </vt:variant>
    </vt:vector>
  </HeadingPairs>
  <TitlesOfParts>
    <vt:vector size="21" baseType="lpstr">
      <vt:lpstr>目次</vt:lpstr>
      <vt:lpstr>例題 1章</vt:lpstr>
      <vt:lpstr>例題 2章</vt:lpstr>
      <vt:lpstr>①</vt:lpstr>
      <vt:lpstr>②</vt:lpstr>
      <vt:lpstr>③</vt:lpstr>
      <vt:lpstr>④</vt:lpstr>
      <vt:lpstr>⑤</vt:lpstr>
      <vt:lpstr>⑥</vt:lpstr>
      <vt:lpstr>⑦</vt:lpstr>
      <vt:lpstr>⑧</vt:lpstr>
      <vt:lpstr>⑨</vt:lpstr>
      <vt:lpstr>⑩</vt:lpstr>
      <vt:lpstr>⑪</vt:lpstr>
      <vt:lpstr>⑫</vt:lpstr>
      <vt:lpstr>⑬</vt:lpstr>
      <vt:lpstr>⑭</vt:lpstr>
      <vt:lpstr>⑮</vt:lpstr>
      <vt:lpstr>⑰</vt:lpstr>
      <vt:lpstr>⑱</vt:lpstr>
      <vt:lpstr>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2017-06-28T06:52:20Z</cp:lastPrinted>
  <dcterms:created xsi:type="dcterms:W3CDTF">2017-06-21T10:42:28Z</dcterms:created>
  <dcterms:modified xsi:type="dcterms:W3CDTF">2018-07-16T22:05:43Z</dcterms:modified>
</cp:coreProperties>
</file>