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退避保存用フォルダ\"/>
    </mc:Choice>
  </mc:AlternateContent>
  <xr:revisionPtr revIDLastSave="0" documentId="13_ncr:1_{C0FD1A8D-B20F-420D-B2CE-3E7A2E61AF25}" xr6:coauthVersionLast="45" xr6:coauthVersionMax="45" xr10:uidLastSave="{00000000-0000-0000-0000-000000000000}"/>
  <bookViews>
    <workbookView xWindow="11268" yWindow="0" windowWidth="11976" windowHeight="12936" activeTab="1" xr2:uid="{00000000-000D-0000-FFFF-FFFF00000000}"/>
  </bookViews>
  <sheets>
    <sheet name="CVP、NPV出題論点表" sheetId="6" r:id="rId1"/>
    <sheet name="R2" sheetId="14" r:id="rId2"/>
    <sheet name="R1" sheetId="11" r:id="rId3"/>
    <sheet name="記述系個別解説" sheetId="12" state="hidden" r:id="rId4"/>
    <sheet name="H30" sheetId="9" r:id="rId5"/>
    <sheet name="H29" sheetId="8" r:id="rId6"/>
    <sheet name="H28" sheetId="1" r:id="rId7"/>
    <sheet name="H27" sheetId="3" r:id="rId8"/>
    <sheet name="H26" sheetId="4" r:id="rId9"/>
    <sheet name="H25" sheetId="5" r:id="rId10"/>
    <sheet name="H24" sheetId="13" r:id="rId11"/>
  </sheets>
  <definedNames>
    <definedName name="_xlnm.Print_Area" localSheetId="2">'R1'!$A$1:$N$109</definedName>
    <definedName name="_xlnm.Print_Area" localSheetId="1">'R2'!$A$1:$N$18</definedName>
    <definedName name="_xlnm.Print_Area" localSheetId="3">記述系個別解説!$B:$C</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2" i="14" l="1"/>
  <c r="D91" i="14"/>
  <c r="F79" i="14"/>
  <c r="C79" i="14"/>
  <c r="D87" i="14"/>
  <c r="E86" i="14"/>
  <c r="E89" i="14" s="1"/>
  <c r="D84" i="14"/>
  <c r="E84" i="14" s="1"/>
  <c r="K86" i="14"/>
  <c r="F77" i="14"/>
  <c r="F76" i="14"/>
  <c r="F75" i="14"/>
  <c r="E26" i="14"/>
  <c r="G26" i="14" s="1"/>
  <c r="G27" i="14" s="1"/>
  <c r="D27" i="14"/>
  <c r="D29" i="14" s="1"/>
  <c r="E87" i="14" l="1"/>
  <c r="E56" i="13" l="1"/>
  <c r="F57" i="13"/>
  <c r="F56" i="13"/>
  <c r="E57" i="13"/>
  <c r="C58" i="13"/>
  <c r="E144" i="13"/>
  <c r="E143" i="13"/>
  <c r="D143" i="13"/>
  <c r="E142" i="13"/>
  <c r="D142" i="13"/>
  <c r="E141" i="13"/>
  <c r="D141" i="13"/>
  <c r="E140" i="13"/>
  <c r="D140" i="13"/>
  <c r="E139" i="13"/>
  <c r="D139" i="13"/>
  <c r="E137" i="13"/>
  <c r="D137" i="13"/>
  <c r="E136" i="13"/>
  <c r="D136" i="13"/>
  <c r="D126" i="13"/>
  <c r="C125" i="13"/>
  <c r="C127" i="13" s="1"/>
  <c r="C130" i="13" s="1"/>
  <c r="C131" i="13" s="1"/>
  <c r="D124" i="13"/>
  <c r="L123" i="13"/>
  <c r="L127" i="13" s="1"/>
  <c r="L118" i="13" s="1"/>
  <c r="D123" i="13"/>
  <c r="E117" i="13"/>
  <c r="D117" i="13"/>
  <c r="B95" i="13"/>
  <c r="B94" i="13"/>
  <c r="B93" i="13"/>
  <c r="B92" i="13"/>
  <c r="B91" i="13"/>
  <c r="B90" i="13"/>
  <c r="F50" i="13"/>
  <c r="D48" i="13"/>
  <c r="D51" i="13" s="1"/>
  <c r="N76" i="13"/>
  <c r="C76" i="13"/>
  <c r="I75" i="13"/>
  <c r="N75" i="13" s="1"/>
  <c r="C75" i="13"/>
  <c r="I74" i="13"/>
  <c r="N74" i="13" s="1"/>
  <c r="C74" i="13"/>
  <c r="I73" i="13"/>
  <c r="N73" i="13" s="1"/>
  <c r="C73" i="13"/>
  <c r="I72" i="13"/>
  <c r="N72" i="13" s="1"/>
  <c r="C72" i="13"/>
  <c r="I71" i="13"/>
  <c r="N71" i="13" s="1"/>
  <c r="C71" i="13"/>
  <c r="I69" i="13"/>
  <c r="N69" i="13" s="1"/>
  <c r="C69" i="13"/>
  <c r="I68" i="13"/>
  <c r="N68" i="13" s="1"/>
  <c r="C68" i="13"/>
  <c r="C66" i="13"/>
  <c r="N65" i="13"/>
  <c r="I65" i="13"/>
  <c r="J39" i="13"/>
  <c r="J41" i="13" s="1"/>
  <c r="E23" i="13" s="1"/>
  <c r="F23" i="13" s="1"/>
  <c r="M37" i="13"/>
  <c r="J37" i="13"/>
  <c r="E37" i="13" s="1"/>
  <c r="M36" i="13"/>
  <c r="E36" i="13"/>
  <c r="M35" i="13"/>
  <c r="F35" i="13"/>
  <c r="E35" i="13"/>
  <c r="M34" i="13"/>
  <c r="F34" i="13"/>
  <c r="E34" i="13"/>
  <c r="M33" i="13"/>
  <c r="E33" i="13"/>
  <c r="F33" i="13" s="1"/>
  <c r="M32" i="13"/>
  <c r="F32" i="13"/>
  <c r="E32" i="13"/>
  <c r="M30" i="13"/>
  <c r="M19" i="13" s="1"/>
  <c r="C92" i="13" s="1"/>
  <c r="F30" i="13"/>
  <c r="E30" i="13"/>
  <c r="M29" i="13"/>
  <c r="M18" i="13" s="1"/>
  <c r="F29" i="13"/>
  <c r="F68" i="13" s="1"/>
  <c r="O68" i="13" s="1"/>
  <c r="E29" i="13"/>
  <c r="C19" i="13"/>
  <c r="C21" i="13" s="1"/>
  <c r="C24" i="13" s="1"/>
  <c r="C25" i="13" s="1"/>
  <c r="F17" i="13"/>
  <c r="E17" i="13"/>
  <c r="C12" i="13"/>
  <c r="M12" i="13" s="1"/>
  <c r="N17" i="13" s="1"/>
  <c r="E71" i="13" l="1"/>
  <c r="J71" i="13" s="1"/>
  <c r="E66" i="13"/>
  <c r="L68" i="13" s="1"/>
  <c r="F18" i="13"/>
  <c r="F19" i="13" s="1"/>
  <c r="E68" i="13"/>
  <c r="J68" i="13" s="1"/>
  <c r="C78" i="13"/>
  <c r="D125" i="13"/>
  <c r="E72" i="13"/>
  <c r="J72" i="13" s="1"/>
  <c r="F72" i="13"/>
  <c r="O72" i="13" s="1"/>
  <c r="E75" i="13"/>
  <c r="J75" i="13" s="1"/>
  <c r="F71" i="13"/>
  <c r="O71" i="13" s="1"/>
  <c r="G136" i="13"/>
  <c r="E146" i="13" s="1"/>
  <c r="E148" i="13" s="1"/>
  <c r="E74" i="13"/>
  <c r="J74" i="13" s="1"/>
  <c r="E58" i="13"/>
  <c r="F74" i="13"/>
  <c r="O74" i="13" s="1"/>
  <c r="C56" i="13"/>
  <c r="N19" i="13"/>
  <c r="N20" i="13" s="1"/>
  <c r="E73" i="13"/>
  <c r="J73" i="13" s="1"/>
  <c r="F69" i="13"/>
  <c r="O69" i="13" s="1"/>
  <c r="E18" i="13"/>
  <c r="E19" i="13" s="1"/>
  <c r="F36" i="13"/>
  <c r="F75" i="13" s="1"/>
  <c r="O75" i="13" s="1"/>
  <c r="E69" i="13"/>
  <c r="J69" i="13" s="1"/>
  <c r="D127" i="13"/>
  <c r="C117" i="13" s="1"/>
  <c r="H117" i="13" s="1"/>
  <c r="L117" i="13" s="1"/>
  <c r="M117" i="13" s="1"/>
  <c r="F73" i="13"/>
  <c r="O73" i="13" s="1"/>
  <c r="M21" i="13"/>
  <c r="N21" i="13" s="1"/>
  <c r="D90" i="13"/>
  <c r="F37" i="13"/>
  <c r="E76" i="13"/>
  <c r="J76" i="13" s="1"/>
  <c r="C91" i="13"/>
  <c r="D92" i="13" s="1"/>
  <c r="F66" i="13"/>
  <c r="E20" i="13"/>
  <c r="F20" i="13" l="1"/>
  <c r="F21" i="13"/>
  <c r="D148" i="13"/>
  <c r="D149" i="13" s="1"/>
  <c r="E21" i="13"/>
  <c r="E62" i="13" s="1"/>
  <c r="E47" i="13" s="1"/>
  <c r="F58" i="13"/>
  <c r="F76" i="13"/>
  <c r="O76" i="13" s="1"/>
  <c r="J78" i="13"/>
  <c r="I80" i="13" s="1"/>
  <c r="I81" i="13" s="1"/>
  <c r="N22" i="13"/>
  <c r="C94" i="13"/>
  <c r="D94" i="13" s="1"/>
  <c r="Q68" i="13"/>
  <c r="G106" i="13"/>
  <c r="D93" i="13"/>
  <c r="E78" i="13"/>
  <c r="F24" i="13" l="1"/>
  <c r="E24" i="13"/>
  <c r="F62" i="13"/>
  <c r="F47" i="13" s="1"/>
  <c r="O78" i="13"/>
  <c r="N80" i="13" s="1"/>
  <c r="N81" i="13" s="1"/>
  <c r="E51" i="13"/>
  <c r="F78" i="13"/>
  <c r="J80" i="13"/>
  <c r="E93" i="13"/>
  <c r="E106" i="13" s="1"/>
  <c r="G107" i="13" s="1"/>
  <c r="G109" i="13" s="1"/>
  <c r="D95" i="13"/>
  <c r="O80" i="13"/>
  <c r="C99" i="13" l="1"/>
  <c r="C100" i="13" s="1"/>
  <c r="G47" i="13"/>
  <c r="H47" i="13" s="1"/>
  <c r="I47" i="13" s="1"/>
  <c r="J47" i="13" s="1"/>
  <c r="K47" i="13" s="1"/>
  <c r="L47" i="13" s="1"/>
  <c r="M47" i="13" s="1"/>
  <c r="N47" i="13" s="1"/>
  <c r="F51" i="13"/>
  <c r="D52" i="13" s="1"/>
  <c r="G94" i="11"/>
  <c r="F94" i="11"/>
  <c r="E94" i="11"/>
  <c r="D94" i="11"/>
  <c r="C94" i="11"/>
  <c r="G90" i="11"/>
  <c r="G96" i="11" s="1"/>
  <c r="F90" i="11"/>
  <c r="F96" i="11" s="1"/>
  <c r="E90" i="11"/>
  <c r="E96" i="11" s="1"/>
  <c r="D90" i="11"/>
  <c r="D96" i="11" s="1"/>
  <c r="C90" i="11"/>
  <c r="C96" i="11" s="1"/>
  <c r="G89" i="11"/>
  <c r="G95" i="11" s="1"/>
  <c r="F89" i="11"/>
  <c r="F95" i="11" s="1"/>
  <c r="E89" i="11"/>
  <c r="E95" i="11" s="1"/>
  <c r="D89" i="11"/>
  <c r="D95" i="11" s="1"/>
  <c r="C89" i="11"/>
  <c r="C95" i="11" s="1"/>
  <c r="D97" i="11"/>
  <c r="E97" i="11"/>
  <c r="F97" i="11"/>
  <c r="G97" i="11"/>
  <c r="C97" i="11"/>
  <c r="H95" i="11" l="1"/>
  <c r="B97" i="11"/>
  <c r="B96" i="11"/>
  <c r="B94" i="11"/>
  <c r="H58" i="11"/>
  <c r="H57" i="11"/>
  <c r="G61" i="11"/>
  <c r="G63" i="11" s="1"/>
  <c r="G64" i="11" s="1"/>
  <c r="G65" i="11" s="1"/>
  <c r="G80" i="11" s="1"/>
  <c r="F61" i="11"/>
  <c r="F63" i="11" s="1"/>
  <c r="F64" i="11" s="1"/>
  <c r="F65" i="11" s="1"/>
  <c r="E61" i="11"/>
  <c r="E63" i="11" s="1"/>
  <c r="E64" i="11" s="1"/>
  <c r="E65" i="11" s="1"/>
  <c r="E80" i="11" s="1"/>
  <c r="D61" i="11"/>
  <c r="D63" i="11" s="1"/>
  <c r="D64" i="11" s="1"/>
  <c r="D65" i="11" s="1"/>
  <c r="D80" i="11" s="1"/>
  <c r="C61" i="11"/>
  <c r="C63" i="11" s="1"/>
  <c r="C64" i="11" s="1"/>
  <c r="C65" i="11" s="1"/>
  <c r="D42" i="11"/>
  <c r="D41" i="11"/>
  <c r="G41" i="11" s="1"/>
  <c r="G44" i="11"/>
  <c r="E43" i="11"/>
  <c r="D26" i="11"/>
  <c r="E26" i="11"/>
  <c r="C26" i="11"/>
  <c r="F28" i="11"/>
  <c r="E28" i="11"/>
  <c r="D28" i="11"/>
  <c r="C28" i="11"/>
  <c r="G25" i="11"/>
  <c r="G27" i="11"/>
  <c r="C33" i="11" s="1"/>
  <c r="G24" i="11"/>
  <c r="G26" i="11" l="1"/>
  <c r="E33" i="11" s="1"/>
  <c r="G33" i="11" s="1"/>
  <c r="C80" i="11"/>
  <c r="G73" i="11"/>
  <c r="F80" i="11"/>
  <c r="F73" i="11"/>
  <c r="E73" i="11"/>
  <c r="C73" i="11"/>
  <c r="D73" i="11"/>
  <c r="D43" i="11"/>
  <c r="G28" i="11"/>
  <c r="G42" i="11"/>
  <c r="C42" i="11" s="1"/>
  <c r="C43" i="11" s="1"/>
  <c r="I40" i="9"/>
  <c r="B81" i="11" l="1"/>
  <c r="B95" i="11" s="1"/>
  <c r="I96" i="11" s="1"/>
  <c r="C74" i="11"/>
  <c r="F74" i="11" s="1"/>
  <c r="F75" i="11" s="1"/>
  <c r="B49" i="9"/>
  <c r="I61" i="9"/>
  <c r="F65" i="9"/>
  <c r="F64" i="9"/>
  <c r="F63" i="9"/>
  <c r="F61" i="9"/>
  <c r="D69" i="9"/>
  <c r="I69" i="9" s="1"/>
  <c r="D65" i="9"/>
  <c r="D66" i="9" s="1"/>
  <c r="C39" i="9"/>
  <c r="C41" i="9" s="1"/>
  <c r="C42" i="9" s="1"/>
  <c r="D49" i="9" s="1"/>
  <c r="C33" i="9"/>
  <c r="C27" i="9"/>
  <c r="E24" i="9"/>
  <c r="G65" i="9" l="1"/>
  <c r="E27" i="9"/>
  <c r="E33" i="9" s="1"/>
  <c r="E51" i="9"/>
  <c r="B41" i="9"/>
  <c r="H63" i="9"/>
  <c r="E65" i="9"/>
  <c r="F66" i="9"/>
  <c r="G66" i="9" s="1"/>
  <c r="I66" i="9" s="1"/>
  <c r="I70" i="9" s="1"/>
  <c r="E66" i="9"/>
  <c r="D70" i="9"/>
  <c r="G13" i="3"/>
  <c r="I13" i="3"/>
  <c r="H12" i="3"/>
  <c r="B13" i="3"/>
  <c r="D76" i="1"/>
  <c r="G76" i="1" s="1"/>
  <c r="D77" i="1" l="1"/>
  <c r="G77" i="1" s="1"/>
  <c r="H77" i="1" s="1"/>
  <c r="F13" i="3"/>
  <c r="L13" i="3" s="1"/>
  <c r="I14" i="8"/>
  <c r="D15" i="8"/>
  <c r="E16" i="8" s="1"/>
  <c r="E17" i="8" s="1"/>
  <c r="H16" i="8"/>
  <c r="D18" i="8"/>
  <c r="E19" i="8" s="1"/>
  <c r="H19" i="8"/>
  <c r="E27" i="8"/>
  <c r="I27" i="8"/>
  <c r="E29" i="8"/>
  <c r="L30" i="8"/>
  <c r="L27" i="8" s="1"/>
  <c r="K26" i="8" s="1"/>
  <c r="N26" i="8" s="1"/>
  <c r="P44" i="8"/>
  <c r="K52" i="8" s="1"/>
  <c r="D87" i="8" s="1"/>
  <c r="H87" i="8" s="1"/>
  <c r="Q44" i="8"/>
  <c r="K43" i="8" s="1"/>
  <c r="H49" i="8"/>
  <c r="M51" i="8"/>
  <c r="D59" i="8"/>
  <c r="D73" i="8" s="1"/>
  <c r="D61" i="8"/>
  <c r="D62" i="8"/>
  <c r="K51" i="8" s="1"/>
  <c r="H66" i="8"/>
  <c r="C71" i="8"/>
  <c r="C72" i="8"/>
  <c r="E80" i="8"/>
  <c r="E30" i="8" l="1"/>
  <c r="E32" i="8" s="1"/>
  <c r="D84" i="8"/>
  <c r="H18" i="8"/>
  <c r="I19" i="8" s="1"/>
  <c r="K44" i="8"/>
  <c r="E20" i="8"/>
  <c r="C75" i="8"/>
  <c r="C76" i="8" s="1"/>
  <c r="D63" i="8"/>
  <c r="D46" i="8"/>
  <c r="H15" i="8"/>
  <c r="I16" i="8" s="1"/>
  <c r="I17" i="8" s="1"/>
  <c r="K53" i="8"/>
  <c r="K55" i="8" s="1"/>
  <c r="H29" i="8"/>
  <c r="J55" i="8"/>
  <c r="K56" i="8" s="1"/>
  <c r="D64" i="8" s="1"/>
  <c r="F30" i="8"/>
  <c r="I30" i="8" s="1"/>
  <c r="I32" i="8" s="1"/>
  <c r="I20" i="8" l="1"/>
  <c r="H84" i="8"/>
  <c r="K46" i="8"/>
  <c r="D85" i="8" s="1"/>
  <c r="J46" i="8"/>
  <c r="K47" i="8" s="1"/>
  <c r="D47" i="8" s="1"/>
  <c r="D74" i="8" s="1"/>
  <c r="F47" i="5"/>
  <c r="E48" i="5"/>
  <c r="G47" i="5"/>
  <c r="H47" i="5" s="1"/>
  <c r="J43" i="5"/>
  <c r="J42" i="5"/>
  <c r="C33" i="1"/>
  <c r="H85" i="8" l="1"/>
  <c r="H86" i="8" s="1"/>
  <c r="H88" i="8" s="1"/>
  <c r="D86" i="8"/>
  <c r="D88" i="8" s="1"/>
  <c r="E74" i="8"/>
  <c r="D75" i="8"/>
  <c r="D76" i="8" s="1"/>
  <c r="I47" i="5"/>
  <c r="J47" i="5" s="1"/>
  <c r="F74" i="8" l="1"/>
  <c r="E75" i="8"/>
  <c r="E76" i="8" s="1"/>
  <c r="C77" i="8" s="1"/>
  <c r="G74" i="8" l="1"/>
  <c r="F75" i="8"/>
  <c r="J37" i="5"/>
  <c r="E40" i="5"/>
  <c r="R32" i="5"/>
  <c r="Q32" i="5"/>
  <c r="P32" i="5"/>
  <c r="O32" i="5"/>
  <c r="N32" i="5"/>
  <c r="N28" i="5"/>
  <c r="R26" i="5"/>
  <c r="Q26" i="5"/>
  <c r="P26" i="5"/>
  <c r="O26" i="5"/>
  <c r="N26" i="5"/>
  <c r="R21" i="5"/>
  <c r="Q21" i="5"/>
  <c r="P21" i="5"/>
  <c r="O21" i="5"/>
  <c r="N21" i="5"/>
  <c r="G27" i="5"/>
  <c r="H27" i="5"/>
  <c r="I27" i="5"/>
  <c r="J27" i="5"/>
  <c r="F27" i="5"/>
  <c r="J25" i="5"/>
  <c r="R25" i="5" s="1"/>
  <c r="I25" i="5"/>
  <c r="Q25" i="5" s="1"/>
  <c r="H25" i="5"/>
  <c r="P25" i="5" s="1"/>
  <c r="G25" i="5"/>
  <c r="O25" i="5" s="1"/>
  <c r="F25" i="5"/>
  <c r="C16" i="5"/>
  <c r="F16" i="5" s="1"/>
  <c r="F17" i="5" s="1"/>
  <c r="F14" i="5"/>
  <c r="F31" i="5" s="1"/>
  <c r="F121" i="4"/>
  <c r="H114" i="4"/>
  <c r="H123" i="4" s="1"/>
  <c r="H110" i="4"/>
  <c r="H111" i="4" s="1"/>
  <c r="D110" i="4"/>
  <c r="D111" i="4" s="1"/>
  <c r="D120" i="4" s="1"/>
  <c r="D114" i="4"/>
  <c r="D123" i="4" s="1"/>
  <c r="F103" i="4"/>
  <c r="D103" i="4"/>
  <c r="J103" i="4" s="1"/>
  <c r="H104" i="4"/>
  <c r="H106" i="4" s="1"/>
  <c r="H103" i="4"/>
  <c r="H95" i="4"/>
  <c r="D95" i="4"/>
  <c r="H84" i="4"/>
  <c r="H85" i="4" s="1"/>
  <c r="F84" i="4"/>
  <c r="F85" i="4" s="1"/>
  <c r="D84" i="4"/>
  <c r="D96" i="4" s="1"/>
  <c r="D98" i="4" s="1"/>
  <c r="P64" i="4"/>
  <c r="O67" i="4"/>
  <c r="T67" i="4"/>
  <c r="S67" i="4"/>
  <c r="R67" i="4"/>
  <c r="Q67" i="4"/>
  <c r="F33" i="5" l="1"/>
  <c r="F29" i="5" s="1"/>
  <c r="F39" i="5" s="1"/>
  <c r="F40" i="5" s="1"/>
  <c r="F95" i="4"/>
  <c r="F94" i="4" s="1"/>
  <c r="F96" i="4"/>
  <c r="F98" i="4" s="1"/>
  <c r="H96" i="4"/>
  <c r="H98" i="4" s="1"/>
  <c r="F90" i="4"/>
  <c r="F104" i="4"/>
  <c r="F106" i="4" s="1"/>
  <c r="D122" i="4"/>
  <c r="D124" i="4" s="1"/>
  <c r="D121" i="4"/>
  <c r="H112" i="4"/>
  <c r="H120" i="4"/>
  <c r="D90" i="4"/>
  <c r="D113" i="4"/>
  <c r="D115" i="4" s="1"/>
  <c r="Q27" i="5"/>
  <c r="I46" i="5"/>
  <c r="P27" i="5"/>
  <c r="H46" i="5"/>
  <c r="H90" i="4"/>
  <c r="N27" i="5"/>
  <c r="F46" i="5"/>
  <c r="O27" i="5"/>
  <c r="G46" i="5"/>
  <c r="D104" i="4"/>
  <c r="D106" i="4" s="1"/>
  <c r="D85" i="4"/>
  <c r="R27" i="5"/>
  <c r="J46" i="5"/>
  <c r="G75" i="8"/>
  <c r="H74" i="8"/>
  <c r="H75" i="8" s="1"/>
  <c r="N25" i="5"/>
  <c r="N29" i="5" s="1"/>
  <c r="N31" i="5"/>
  <c r="G16" i="5"/>
  <c r="G14" i="5"/>
  <c r="H113" i="4"/>
  <c r="H115" i="4" s="1"/>
  <c r="F122" i="4"/>
  <c r="F124" i="4" s="1"/>
  <c r="D112" i="4"/>
  <c r="I67" i="4"/>
  <c r="O50" i="4"/>
  <c r="G47" i="4"/>
  <c r="D36" i="4"/>
  <c r="C36" i="4"/>
  <c r="G30" i="4" s="1"/>
  <c r="H45" i="4" s="1"/>
  <c r="H62" i="4" s="1"/>
  <c r="O19" i="4"/>
  <c r="O18" i="4"/>
  <c r="O17" i="4"/>
  <c r="O16" i="4"/>
  <c r="Q15" i="4"/>
  <c r="H19" i="4"/>
  <c r="H18" i="4"/>
  <c r="H17" i="4"/>
  <c r="H16" i="4"/>
  <c r="J15" i="4"/>
  <c r="C25" i="4"/>
  <c r="B25" i="4"/>
  <c r="B28" i="4" s="1"/>
  <c r="C67" i="3"/>
  <c r="C66" i="3"/>
  <c r="C83" i="3" s="1"/>
  <c r="C79" i="3"/>
  <c r="C86" i="3" s="1"/>
  <c r="F64" i="3"/>
  <c r="F67" i="3" s="1"/>
  <c r="E64" i="3"/>
  <c r="E67" i="3" s="1"/>
  <c r="D64" i="3"/>
  <c r="D67" i="3" s="1"/>
  <c r="F60" i="3"/>
  <c r="F66" i="3" s="1"/>
  <c r="F83" i="3" s="1"/>
  <c r="E60" i="3"/>
  <c r="E66" i="3" s="1"/>
  <c r="E83" i="3" s="1"/>
  <c r="D60" i="3"/>
  <c r="D66" i="3" s="1"/>
  <c r="J61" i="3"/>
  <c r="K61" i="3"/>
  <c r="L20" i="3"/>
  <c r="L19" i="3"/>
  <c r="B15" i="3"/>
  <c r="I15" i="3" s="1"/>
  <c r="F15" i="3" s="1"/>
  <c r="G15" i="3"/>
  <c r="L17" i="3" s="1"/>
  <c r="L16" i="3"/>
  <c r="H74" i="1"/>
  <c r="H78" i="1" s="1"/>
  <c r="L76" i="1"/>
  <c r="G80" i="1"/>
  <c r="D81" i="1"/>
  <c r="G81" i="1" s="1"/>
  <c r="E81" i="1"/>
  <c r="G82" i="1"/>
  <c r="F44" i="5" l="1"/>
  <c r="F48" i="5" s="1"/>
  <c r="F40" i="3"/>
  <c r="J106" i="4"/>
  <c r="J107" i="4" s="1"/>
  <c r="H82" i="1"/>
  <c r="D75" i="3"/>
  <c r="D76" i="3" s="1"/>
  <c r="D79" i="3" s="1"/>
  <c r="D86" i="3" s="1"/>
  <c r="M17" i="3"/>
  <c r="F39" i="3" s="1"/>
  <c r="M20" i="3"/>
  <c r="C91" i="3"/>
  <c r="D83" i="3"/>
  <c r="C84" i="3" s="1"/>
  <c r="E91" i="3"/>
  <c r="H122" i="4"/>
  <c r="H124" i="4" s="1"/>
  <c r="H121" i="4"/>
  <c r="J121" i="4" s="1"/>
  <c r="F112" i="4"/>
  <c r="F111" i="4" s="1"/>
  <c r="J124" i="4"/>
  <c r="J125" i="4" s="1"/>
  <c r="E78" i="1"/>
  <c r="F78" i="1" s="1"/>
  <c r="E85" i="1" s="1"/>
  <c r="G17" i="5"/>
  <c r="O31" i="5"/>
  <c r="O33" i="5" s="1"/>
  <c r="O28" i="5" s="1"/>
  <c r="O29" i="5" s="1"/>
  <c r="H14" i="5"/>
  <c r="G31" i="5"/>
  <c r="G33" i="5" s="1"/>
  <c r="F113" i="4"/>
  <c r="F115" i="4" s="1"/>
  <c r="G50" i="4"/>
  <c r="G64" i="4"/>
  <c r="G67" i="4" s="1"/>
  <c r="H23" i="4"/>
  <c r="G25" i="4" s="1"/>
  <c r="G28" i="4" s="1"/>
  <c r="J67" i="4"/>
  <c r="O23" i="4"/>
  <c r="O25" i="4" s="1"/>
  <c r="M12" i="3"/>
  <c r="I78" i="1"/>
  <c r="H89" i="1" s="1"/>
  <c r="H83" i="1"/>
  <c r="E62" i="1"/>
  <c r="L46" i="1"/>
  <c r="I47" i="1" s="1"/>
  <c r="D45" i="1"/>
  <c r="L41" i="1"/>
  <c r="I42" i="1" s="1"/>
  <c r="D40" i="1"/>
  <c r="I35" i="1"/>
  <c r="I36" i="1" s="1"/>
  <c r="C36" i="1" s="1"/>
  <c r="C37" i="1" s="1"/>
  <c r="L33" i="1"/>
  <c r="K22" i="1"/>
  <c r="K27" i="1" s="1"/>
  <c r="J22" i="1"/>
  <c r="J27" i="1" s="1"/>
  <c r="H19" i="1"/>
  <c r="H18" i="1" s="1"/>
  <c r="G19" i="1"/>
  <c r="G18" i="1" s="1"/>
  <c r="C18" i="1"/>
  <c r="C17" i="1"/>
  <c r="C16" i="1"/>
  <c r="H13" i="1"/>
  <c r="G13" i="1"/>
  <c r="G27" i="1" s="1"/>
  <c r="F33" i="3" l="1"/>
  <c r="H85" i="1"/>
  <c r="H27" i="1"/>
  <c r="E75" i="3"/>
  <c r="E76" i="3" s="1"/>
  <c r="E79" i="3" s="1"/>
  <c r="E86" i="3" s="1"/>
  <c r="E83" i="1"/>
  <c r="H25" i="4"/>
  <c r="H16" i="5"/>
  <c r="P31" i="5" s="1"/>
  <c r="P33" i="5" s="1"/>
  <c r="P28" i="5" s="1"/>
  <c r="P29" i="5" s="1"/>
  <c r="G28" i="5"/>
  <c r="G29" i="5" s="1"/>
  <c r="G39" i="5" s="1"/>
  <c r="I14" i="5"/>
  <c r="H31" i="5"/>
  <c r="H33" i="5" s="1"/>
  <c r="H28" i="5" s="1"/>
  <c r="H29" i="5" s="1"/>
  <c r="H39" i="5" s="1"/>
  <c r="L67" i="4"/>
  <c r="K67" i="4"/>
  <c r="G32" i="4"/>
  <c r="R46" i="4"/>
  <c r="R50" i="4" s="1"/>
  <c r="Q46" i="4"/>
  <c r="Q50" i="4" s="1"/>
  <c r="T46" i="4"/>
  <c r="T50" i="4" s="1"/>
  <c r="H46" i="4"/>
  <c r="H63" i="4" s="1"/>
  <c r="H67" i="4" s="1"/>
  <c r="S46" i="4"/>
  <c r="S50" i="4" s="1"/>
  <c r="N25" i="4"/>
  <c r="N28" i="4" s="1"/>
  <c r="P46" i="4" s="1"/>
  <c r="H15" i="3"/>
  <c r="L14" i="3"/>
  <c r="H13" i="3"/>
  <c r="H14" i="3" s="1"/>
  <c r="D51" i="1"/>
  <c r="D54" i="1" s="1"/>
  <c r="H86" i="1"/>
  <c r="H90" i="1"/>
  <c r="C20" i="1"/>
  <c r="C24" i="1" s="1"/>
  <c r="I53" i="1"/>
  <c r="I54" i="1" s="1"/>
  <c r="F75" i="3" l="1"/>
  <c r="F76" i="3" s="1"/>
  <c r="F79" i="3" s="1"/>
  <c r="H40" i="5"/>
  <c r="H44" i="5"/>
  <c r="H48" i="5" s="1"/>
  <c r="F86" i="3"/>
  <c r="C87" i="3" s="1"/>
  <c r="C92" i="3"/>
  <c r="C55" i="1"/>
  <c r="C56" i="1" s="1"/>
  <c r="E56" i="1" s="1"/>
  <c r="G40" i="5"/>
  <c r="G44" i="5"/>
  <c r="G48" i="5" s="1"/>
  <c r="H17" i="5"/>
  <c r="I16" i="5" s="1"/>
  <c r="J14" i="5"/>
  <c r="J31" i="5" s="1"/>
  <c r="J33" i="5" s="1"/>
  <c r="J28" i="5" s="1"/>
  <c r="J29" i="5" s="1"/>
  <c r="J39" i="5" s="1"/>
  <c r="I31" i="5"/>
  <c r="I33" i="5" s="1"/>
  <c r="I28" i="5" s="1"/>
  <c r="I29" i="5" s="1"/>
  <c r="P50" i="4"/>
  <c r="P63" i="4"/>
  <c r="P67" i="4" s="1"/>
  <c r="O68" i="4" s="1"/>
  <c r="G68" i="4"/>
  <c r="I46" i="4"/>
  <c r="H50" i="4"/>
  <c r="H16" i="3"/>
  <c r="H19" i="3" s="1"/>
  <c r="H22" i="3" s="1"/>
  <c r="H24" i="3" s="1"/>
  <c r="M14" i="3"/>
  <c r="M15" i="3" s="1"/>
  <c r="N15" i="3" s="1"/>
  <c r="G70" i="4" l="1"/>
  <c r="E92" i="3"/>
  <c r="J40" i="5"/>
  <c r="J44" i="5"/>
  <c r="J48" i="5" s="1"/>
  <c r="Q31" i="5"/>
  <c r="Q33" i="5" s="1"/>
  <c r="Q28" i="5" s="1"/>
  <c r="Q29" i="5" s="1"/>
  <c r="J16" i="5"/>
  <c r="R31" i="5" s="1"/>
  <c r="R33" i="5" s="1"/>
  <c r="R28" i="5" s="1"/>
  <c r="R29" i="5" s="1"/>
  <c r="K29" i="5"/>
  <c r="I39" i="5"/>
  <c r="J46" i="4"/>
  <c r="I50" i="4"/>
  <c r="O51" i="4"/>
  <c r="F34" i="3"/>
  <c r="F35" i="3" s="1"/>
  <c r="M18" i="3"/>
  <c r="M21" i="3" s="1"/>
  <c r="F41" i="3" s="1"/>
  <c r="F43" i="3" s="1"/>
  <c r="F44" i="3" l="1"/>
  <c r="I40" i="5"/>
  <c r="K40" i="5" s="1"/>
  <c r="I44" i="5"/>
  <c r="I48" i="5" s="1"/>
  <c r="K48" i="5" s="1"/>
  <c r="S29" i="5"/>
  <c r="K46" i="4"/>
  <c r="J50" i="4"/>
  <c r="L46" i="4" l="1"/>
  <c r="L50" i="4" s="1"/>
  <c r="K50" i="4"/>
  <c r="G51" i="4" l="1"/>
  <c r="G5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日本水産株式会社</author>
  </authors>
  <commentList>
    <comment ref="J22" authorId="0" shapeId="0" xr:uid="{00000000-0006-0000-0400-000001000000}">
      <text>
        <r>
          <rPr>
            <sz val="9"/>
            <color indexed="81"/>
            <rFont val="MS P ゴシック"/>
            <family val="3"/>
            <charset val="128"/>
          </rPr>
          <t xml:space="preserve">販売単価が変動する出題では、限界利益率も変動し、
</t>
        </r>
        <r>
          <rPr>
            <b/>
            <sz val="9"/>
            <color indexed="81"/>
            <rFont val="MS P ゴシック"/>
            <family val="3"/>
            <charset val="128"/>
          </rPr>
          <t>SBEP＝固定費÷限界利益率</t>
        </r>
        <r>
          <rPr>
            <sz val="9"/>
            <color indexed="81"/>
            <rFont val="MS P ゴシック"/>
            <family val="3"/>
            <charset val="128"/>
          </rPr>
          <t xml:space="preserve">
の公式一辺倒では求まらない良問になる。</t>
        </r>
      </text>
    </comment>
    <comment ref="H29" authorId="0" shapeId="0" xr:uid="{00000000-0006-0000-0400-000002000000}">
      <text>
        <r>
          <rPr>
            <sz val="9"/>
            <color indexed="81"/>
            <rFont val="MS P ゴシック"/>
            <family val="3"/>
            <charset val="128"/>
          </rPr>
          <t>前年下期実績から、変動費率53%で計算</t>
        </r>
      </text>
    </comment>
    <comment ref="K29" authorId="0" shapeId="0" xr:uid="{00000000-0006-0000-0400-000003000000}">
      <text>
        <r>
          <rPr>
            <sz val="9"/>
            <color indexed="81"/>
            <rFont val="MS P ゴシック"/>
            <family val="3"/>
            <charset val="128"/>
          </rPr>
          <t>売電単価が変動しても変動費額は同じ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日本水産株式会社</author>
  </authors>
  <commentList>
    <comment ref="C13" authorId="0" shapeId="0" xr:uid="{00000000-0006-0000-0600-000001000000}">
      <text>
        <r>
          <rPr>
            <sz val="9"/>
            <color indexed="81"/>
            <rFont val="MS P ゴシック"/>
            <family val="3"/>
            <charset val="128"/>
          </rPr>
          <t>第2問 設問文から</t>
        </r>
      </text>
    </comment>
    <comment ref="I13" authorId="0" shapeId="0" xr:uid="{00000000-0006-0000-0600-000002000000}">
      <text>
        <r>
          <rPr>
            <sz val="9"/>
            <color indexed="81"/>
            <rFont val="MS P ゴシック"/>
            <family val="3"/>
            <charset val="128"/>
          </rPr>
          <t>第2期実績から変動費率を計算</t>
        </r>
      </text>
    </comment>
    <comment ref="F41" authorId="0" shapeId="0" xr:uid="{00000000-0006-0000-0600-000003000000}">
      <text>
        <r>
          <rPr>
            <sz val="9"/>
            <color indexed="81"/>
            <rFont val="MS P ゴシック"/>
            <family val="3"/>
            <charset val="128"/>
          </rPr>
          <t>経常利益を今の△71→＋100に改善するには、固定費△171の削減が必要</t>
        </r>
      </text>
    </comment>
  </commentList>
</comments>
</file>

<file path=xl/sharedStrings.xml><?xml version="1.0" encoding="utf-8"?>
<sst xmlns="http://schemas.openxmlformats.org/spreadsheetml/2006/main" count="1734" uniqueCount="960">
  <si>
    <t>イケカコ エクセル活躍学習法</t>
    <rPh sb="9" eb="11">
      <t>カツヤク</t>
    </rPh>
    <rPh sb="11" eb="14">
      <t>ガクシュウホウ</t>
    </rPh>
    <phoneticPr fontId="3"/>
  </si>
  <si>
    <t>番外編 H28年 事例Ⅳ</t>
    <rPh sb="0" eb="3">
      <t>バンガイヘン</t>
    </rPh>
    <rPh sb="7" eb="8">
      <t>ネン</t>
    </rPh>
    <rPh sb="9" eb="11">
      <t>ジレイ</t>
    </rPh>
    <phoneticPr fontId="3"/>
  </si>
  <si>
    <t>第２問</t>
    <rPh sb="0" eb="1">
      <t>ダイ</t>
    </rPh>
    <rPh sb="2" eb="3">
      <t>モン</t>
    </rPh>
    <phoneticPr fontId="3"/>
  </si>
  <si>
    <t>解き方</t>
    <rPh sb="0" eb="1">
      <t>ト</t>
    </rPh>
    <rPh sb="2" eb="3">
      <t>カタ</t>
    </rPh>
    <phoneticPr fontId="3"/>
  </si>
  <si>
    <t>前期・当期の2期BS</t>
    <rPh sb="0" eb="2">
      <t>ゼンキ</t>
    </rPh>
    <rPh sb="3" eb="5">
      <t>トウキ</t>
    </rPh>
    <rPh sb="7" eb="8">
      <t>キ</t>
    </rPh>
    <phoneticPr fontId="3"/>
  </si>
  <si>
    <t>単位：百万円</t>
    <rPh sb="0" eb="2">
      <t>タンイ</t>
    </rPh>
    <rPh sb="3" eb="6">
      <t>ヒャクマンエン</t>
    </rPh>
    <phoneticPr fontId="3"/>
  </si>
  <si>
    <t>税引前当期純利益</t>
    <rPh sb="0" eb="2">
      <t>ゼイビ</t>
    </rPh>
    <rPh sb="2" eb="3">
      <t>マエ</t>
    </rPh>
    <rPh sb="3" eb="5">
      <t>トウキ</t>
    </rPh>
    <rPh sb="5" eb="8">
      <t>ジュンリエキ</t>
    </rPh>
    <phoneticPr fontId="3"/>
  </si>
  <si>
    <t>前期</t>
    <rPh sb="0" eb="2">
      <t>ゼンキ</t>
    </rPh>
    <phoneticPr fontId="3"/>
  </si>
  <si>
    <t>当期</t>
    <rPh sb="0" eb="2">
      <t>トウキ</t>
    </rPh>
    <phoneticPr fontId="3"/>
  </si>
  <si>
    <t>減価償却費</t>
    <rPh sb="0" eb="2">
      <t>ゲンカ</t>
    </rPh>
    <rPh sb="2" eb="4">
      <t>ショウキャク</t>
    </rPh>
    <rPh sb="4" eb="5">
      <t>ヒ</t>
    </rPh>
    <phoneticPr fontId="3"/>
  </si>
  <si>
    <t>←PLから</t>
    <phoneticPr fontId="3"/>
  </si>
  <si>
    <t>&lt;資産の部&gt;</t>
    <rPh sb="1" eb="3">
      <t>シサン</t>
    </rPh>
    <rPh sb="4" eb="5">
      <t>ブ</t>
    </rPh>
    <phoneticPr fontId="3"/>
  </si>
  <si>
    <t>&lt;負債の部&gt;</t>
    <rPh sb="1" eb="3">
      <t>フサイ</t>
    </rPh>
    <rPh sb="4" eb="5">
      <t>ブ</t>
    </rPh>
    <phoneticPr fontId="3"/>
  </si>
  <si>
    <t>減損損失</t>
    <rPh sb="0" eb="2">
      <t>ゲンソン</t>
    </rPh>
    <rPh sb="2" eb="4">
      <t>ソンシツ</t>
    </rPh>
    <phoneticPr fontId="3"/>
  </si>
  <si>
    <t>流動資産</t>
    <phoneticPr fontId="3"/>
  </si>
  <si>
    <t>流動負債</t>
  </si>
  <si>
    <t>営業外収益</t>
    <rPh sb="0" eb="3">
      <t>エイギョウガイ</t>
    </rPh>
    <rPh sb="3" eb="5">
      <t>シュウエキ</t>
    </rPh>
    <phoneticPr fontId="3"/>
  </si>
  <si>
    <t xml:space="preserve"> 現金及び預金</t>
    <phoneticPr fontId="3"/>
  </si>
  <si>
    <t xml:space="preserve"> 仕入債務</t>
    <rPh sb="1" eb="3">
      <t>シイレ</t>
    </rPh>
    <rPh sb="3" eb="5">
      <t>サイム</t>
    </rPh>
    <phoneticPr fontId="3"/>
  </si>
  <si>
    <t>営業外費用</t>
    <rPh sb="0" eb="3">
      <t>エイギョウガイ</t>
    </rPh>
    <rPh sb="3" eb="5">
      <t>ヒヨウ</t>
    </rPh>
    <phoneticPr fontId="3"/>
  </si>
  <si>
    <t xml:space="preserve"> 売上債権</t>
    <phoneticPr fontId="3"/>
  </si>
  <si>
    <t>売上債権の増減額</t>
    <rPh sb="0" eb="2">
      <t>ウリアゲ</t>
    </rPh>
    <rPh sb="2" eb="4">
      <t>サイケン</t>
    </rPh>
    <rPh sb="5" eb="8">
      <t>ゾウゲンガク</t>
    </rPh>
    <phoneticPr fontId="3"/>
  </si>
  <si>
    <t xml:space="preserve"> たな卸資産</t>
    <phoneticPr fontId="3"/>
  </si>
  <si>
    <t xml:space="preserve">  CF計算書作成に関係しない</t>
    <rPh sb="4" eb="7">
      <t>ケイサンショ</t>
    </rPh>
    <rPh sb="7" eb="9">
      <t>サクセイ</t>
    </rPh>
    <rPh sb="10" eb="12">
      <t>カンケイ</t>
    </rPh>
    <phoneticPr fontId="3"/>
  </si>
  <si>
    <t>棚卸資産の増減額</t>
    <rPh sb="0" eb="2">
      <t>タナオロシ</t>
    </rPh>
    <rPh sb="2" eb="4">
      <t>シサン</t>
    </rPh>
    <rPh sb="5" eb="8">
      <t>ゾウゲンガク</t>
    </rPh>
    <phoneticPr fontId="3"/>
  </si>
  <si>
    <t xml:space="preserve"> その他の流動資産</t>
    <phoneticPr fontId="3"/>
  </si>
  <si>
    <t xml:space="preserve"> 負債の内訳は省略</t>
    <rPh sb="1" eb="3">
      <t>フサイ</t>
    </rPh>
    <rPh sb="4" eb="6">
      <t>ウチワケ</t>
    </rPh>
    <rPh sb="7" eb="9">
      <t>ショウリャク</t>
    </rPh>
    <phoneticPr fontId="3"/>
  </si>
  <si>
    <t>仕入債務の増減額</t>
    <rPh sb="0" eb="2">
      <t>シイレ</t>
    </rPh>
    <rPh sb="2" eb="4">
      <t>サイム</t>
    </rPh>
    <rPh sb="5" eb="8">
      <t>ゾウゲンガク</t>
    </rPh>
    <phoneticPr fontId="3"/>
  </si>
  <si>
    <t>固定資産</t>
    <phoneticPr fontId="3"/>
  </si>
  <si>
    <t>その他</t>
    <rPh sb="2" eb="3">
      <t>タ</t>
    </rPh>
    <phoneticPr fontId="3"/>
  </si>
  <si>
    <t xml:space="preserve"> 有形固定資産</t>
    <phoneticPr fontId="3"/>
  </si>
  <si>
    <t>固定負債</t>
    <rPh sb="0" eb="2">
      <t>コテイ</t>
    </rPh>
    <rPh sb="2" eb="4">
      <t>フサイ</t>
    </rPh>
    <phoneticPr fontId="3"/>
  </si>
  <si>
    <t>小計</t>
    <rPh sb="0" eb="2">
      <t>ショウケイ</t>
    </rPh>
    <phoneticPr fontId="3"/>
  </si>
  <si>
    <t xml:space="preserve">  建物</t>
    <phoneticPr fontId="3"/>
  </si>
  <si>
    <t>利息及び配当金の受取額</t>
    <rPh sb="0" eb="2">
      <t>リソク</t>
    </rPh>
    <rPh sb="2" eb="3">
      <t>オヨ</t>
    </rPh>
    <rPh sb="4" eb="7">
      <t>ハイトウキン</t>
    </rPh>
    <rPh sb="8" eb="10">
      <t>ウケトリ</t>
    </rPh>
    <rPh sb="10" eb="11">
      <t>ガク</t>
    </rPh>
    <phoneticPr fontId="3"/>
  </si>
  <si>
    <t>-</t>
    <phoneticPr fontId="3"/>
  </si>
  <si>
    <t xml:space="preserve">  土地</t>
    <phoneticPr fontId="3"/>
  </si>
  <si>
    <t>利息の支払額</t>
    <rPh sb="0" eb="2">
      <t>リソク</t>
    </rPh>
    <rPh sb="3" eb="5">
      <t>シハラ</t>
    </rPh>
    <rPh sb="5" eb="6">
      <t>ガク</t>
    </rPh>
    <phoneticPr fontId="3"/>
  </si>
  <si>
    <t xml:space="preserve">  その他の有形固定資産</t>
    <phoneticPr fontId="3"/>
  </si>
  <si>
    <t>負債合計</t>
    <rPh sb="0" eb="2">
      <t>フサイ</t>
    </rPh>
    <rPh sb="2" eb="4">
      <t>ゴウケイ</t>
    </rPh>
    <phoneticPr fontId="3"/>
  </si>
  <si>
    <t>法人税等の支払額</t>
    <rPh sb="0" eb="3">
      <t>ホウジンゼイ</t>
    </rPh>
    <rPh sb="3" eb="4">
      <t>トウ</t>
    </rPh>
    <rPh sb="5" eb="7">
      <t>シハライ</t>
    </rPh>
    <rPh sb="7" eb="8">
      <t>ガク</t>
    </rPh>
    <phoneticPr fontId="3"/>
  </si>
  <si>
    <t xml:space="preserve"> 無形固定資産</t>
    <phoneticPr fontId="3"/>
  </si>
  <si>
    <t>営業活動によるCF</t>
    <rPh sb="0" eb="2">
      <t>エイギョウ</t>
    </rPh>
    <rPh sb="2" eb="4">
      <t>カツドウ</t>
    </rPh>
    <phoneticPr fontId="3"/>
  </si>
  <si>
    <t xml:space="preserve"> 投資その他の資産</t>
    <phoneticPr fontId="3"/>
  </si>
  <si>
    <t xml:space="preserve">  純資産の内訳は省略</t>
    <rPh sb="2" eb="5">
      <t>ジュンシサン</t>
    </rPh>
    <rPh sb="6" eb="8">
      <t>ウチワケ</t>
    </rPh>
    <rPh sb="9" eb="11">
      <t>ショウリャク</t>
    </rPh>
    <phoneticPr fontId="3"/>
  </si>
  <si>
    <t>純資産合計</t>
    <rPh sb="0" eb="3">
      <t>ジュンシサン</t>
    </rPh>
    <rPh sb="3" eb="5">
      <t>ゴウケイ</t>
    </rPh>
    <phoneticPr fontId="3"/>
  </si>
  <si>
    <t>資産合計</t>
    <rPh sb="0" eb="2">
      <t>シサン</t>
    </rPh>
    <rPh sb="2" eb="4">
      <t>ゴウケイ</t>
    </rPh>
    <phoneticPr fontId="3"/>
  </si>
  <si>
    <t>負債･純資産合計</t>
    <rPh sb="0" eb="2">
      <t>フサイ</t>
    </rPh>
    <rPh sb="3" eb="6">
      <t>ジュンシサン</t>
    </rPh>
    <rPh sb="6" eb="8">
      <t>ゴウケイ</t>
    </rPh>
    <phoneticPr fontId="3"/>
  </si>
  <si>
    <t>NPVの計算</t>
    <rPh sb="4" eb="6">
      <t>ケイサン</t>
    </rPh>
    <phoneticPr fontId="3"/>
  </si>
  <si>
    <t>土地</t>
    <rPh sb="0" eb="2">
      <t>トチ</t>
    </rPh>
    <phoneticPr fontId="3"/>
  </si>
  <si>
    <t>Y0</t>
    <phoneticPr fontId="3"/>
  </si>
  <si>
    <t>Y1</t>
    <phoneticPr fontId="3"/>
  </si>
  <si>
    <t>Y2</t>
  </si>
  <si>
    <t>Y3</t>
  </si>
  <si>
    <t>Y4</t>
    <phoneticPr fontId="3"/>
  </si>
  <si>
    <t>Y5</t>
    <phoneticPr fontId="3"/>
  </si>
  <si>
    <t>Y6</t>
    <phoneticPr fontId="3"/>
  </si>
  <si>
    <t>投資額</t>
    <rPh sb="0" eb="2">
      <t>トウシ</t>
    </rPh>
    <rPh sb="2" eb="3">
      <t>ガク</t>
    </rPh>
    <phoneticPr fontId="3"/>
  </si>
  <si>
    <t>①投資額 △</t>
    <rPh sb="1" eb="3">
      <t>トウシ</t>
    </rPh>
    <rPh sb="3" eb="4">
      <t>ガク</t>
    </rPh>
    <phoneticPr fontId="3"/>
  </si>
  <si>
    <t>残存価額</t>
    <rPh sb="0" eb="2">
      <t>ザンゾン</t>
    </rPh>
    <rPh sb="2" eb="4">
      <t>カガク</t>
    </rPh>
    <phoneticPr fontId="3"/>
  </si>
  <si>
    <t>減価償却費/年</t>
    <rPh sb="0" eb="2">
      <t>ゲンカ</t>
    </rPh>
    <rPh sb="2" eb="4">
      <t>ショウキャク</t>
    </rPh>
    <rPh sb="4" eb="5">
      <t>ヒ</t>
    </rPh>
    <rPh sb="6" eb="7">
      <t>ネン</t>
    </rPh>
    <phoneticPr fontId="3"/>
  </si>
  <si>
    <t>②残存価額</t>
    <rPh sb="1" eb="3">
      <t>ザンゾン</t>
    </rPh>
    <rPh sb="3" eb="5">
      <t>カガク</t>
    </rPh>
    <phoneticPr fontId="3"/>
  </si>
  <si>
    <t>建物</t>
    <rPh sb="0" eb="2">
      <t>タテモノ</t>
    </rPh>
    <phoneticPr fontId="3"/>
  </si>
  <si>
    <t>Y1</t>
    <phoneticPr fontId="3"/>
  </si>
  <si>
    <t>Y4</t>
    <phoneticPr fontId="3"/>
  </si>
  <si>
    <t>Y5</t>
    <phoneticPr fontId="3"/>
  </si>
  <si>
    <t>Y6</t>
    <phoneticPr fontId="3"/>
  </si>
  <si>
    <t>Y0</t>
    <phoneticPr fontId="3"/>
  </si>
  <si>
    <t>器具備品</t>
    <rPh sb="0" eb="2">
      <t>キグ</t>
    </rPh>
    <rPh sb="2" eb="4">
      <t>ビヒン</t>
    </rPh>
    <phoneticPr fontId="3"/>
  </si>
  <si>
    <t>Y1</t>
    <phoneticPr fontId="3"/>
  </si>
  <si>
    <t>Y4</t>
    <phoneticPr fontId="3"/>
  </si>
  <si>
    <t>Y6</t>
    <phoneticPr fontId="3"/>
  </si>
  <si>
    <t>建物+器具備品計</t>
    <rPh sb="0" eb="2">
      <t>タテモノ</t>
    </rPh>
    <rPh sb="3" eb="5">
      <t>キグ</t>
    </rPh>
    <rPh sb="5" eb="7">
      <t>ビヒン</t>
    </rPh>
    <rPh sb="7" eb="8">
      <t>ケイ</t>
    </rPh>
    <phoneticPr fontId="3"/>
  </si>
  <si>
    <t>③割引後PV</t>
    <rPh sb="1" eb="3">
      <t>ワリビキ</t>
    </rPh>
    <rPh sb="3" eb="4">
      <t>ゴ</t>
    </rPh>
    <phoneticPr fontId="3"/>
  </si>
  <si>
    <t>第4問</t>
    <rPh sb="0" eb="1">
      <t>ダイ</t>
    </rPh>
    <rPh sb="2" eb="3">
      <t>モン</t>
    </rPh>
    <phoneticPr fontId="3"/>
  </si>
  <si>
    <t>直接原価計算PLの作成</t>
    <rPh sb="0" eb="2">
      <t>チョクセツ</t>
    </rPh>
    <rPh sb="2" eb="4">
      <t>ゲンカ</t>
    </rPh>
    <rPh sb="4" eb="6">
      <t>ケイサン</t>
    </rPh>
    <rPh sb="9" eb="11">
      <t>サクセイ</t>
    </rPh>
    <phoneticPr fontId="3"/>
  </si>
  <si>
    <t>導入前</t>
    <rPh sb="0" eb="2">
      <t>ドウニュウ</t>
    </rPh>
    <rPh sb="2" eb="3">
      <t>マエ</t>
    </rPh>
    <phoneticPr fontId="3"/>
  </si>
  <si>
    <t>導入後</t>
    <rPh sb="0" eb="2">
      <t>ドウニュウ</t>
    </rPh>
    <rPh sb="2" eb="3">
      <t>ゴ</t>
    </rPh>
    <phoneticPr fontId="3"/>
  </si>
  <si>
    <t>自社予約システム</t>
    <rPh sb="0" eb="2">
      <t>ジシャ</t>
    </rPh>
    <rPh sb="2" eb="4">
      <t>ヨヤク</t>
    </rPh>
    <phoneticPr fontId="3"/>
  </si>
  <si>
    <t>売上高</t>
    <rPh sb="0" eb="2">
      <t>ウリアゲ</t>
    </rPh>
    <rPh sb="2" eb="3">
      <t>ダカ</t>
    </rPh>
    <phoneticPr fontId="3"/>
  </si>
  <si>
    <t>取得価額</t>
    <rPh sb="0" eb="2">
      <t>シュトク</t>
    </rPh>
    <rPh sb="2" eb="4">
      <t>カガク</t>
    </rPh>
    <phoneticPr fontId="3"/>
  </si>
  <si>
    <t>変動費</t>
    <rPh sb="0" eb="2">
      <t>ヘンドウ</t>
    </rPh>
    <rPh sb="2" eb="3">
      <t>ヒ</t>
    </rPh>
    <phoneticPr fontId="3"/>
  </si>
  <si>
    <t xml:space="preserve"> 送客手数料</t>
    <rPh sb="1" eb="2">
      <t>ソウ</t>
    </rPh>
    <rPh sb="2" eb="3">
      <t>キャク</t>
    </rPh>
    <rPh sb="3" eb="6">
      <t>テスウリョウ</t>
    </rPh>
    <phoneticPr fontId="3"/>
  </si>
  <si>
    <t xml:space="preserve"> 送客手数料以外</t>
    <rPh sb="1" eb="2">
      <t>ソウ</t>
    </rPh>
    <rPh sb="2" eb="3">
      <t>キャク</t>
    </rPh>
    <rPh sb="3" eb="6">
      <t>テスウリョウ</t>
    </rPh>
    <rPh sb="6" eb="8">
      <t>イガイ</t>
    </rPh>
    <phoneticPr fontId="3"/>
  </si>
  <si>
    <t>限界利益</t>
    <rPh sb="0" eb="2">
      <t>ゲンカイ</t>
    </rPh>
    <rPh sb="2" eb="4">
      <t>リエキ</t>
    </rPh>
    <phoneticPr fontId="3"/>
  </si>
  <si>
    <t>固定費</t>
    <rPh sb="0" eb="3">
      <t>コテイヒ</t>
    </rPh>
    <phoneticPr fontId="3"/>
  </si>
  <si>
    <t xml:space="preserve">  予算管理費</t>
    <rPh sb="2" eb="4">
      <t>ヨサン</t>
    </rPh>
    <rPh sb="4" eb="6">
      <t>カンリ</t>
    </rPh>
    <rPh sb="6" eb="7">
      <t>ヒ</t>
    </rPh>
    <phoneticPr fontId="3"/>
  </si>
  <si>
    <t xml:space="preserve">  予算管理費以外</t>
    <rPh sb="2" eb="4">
      <t>ヨサン</t>
    </rPh>
    <rPh sb="4" eb="6">
      <t>カンリ</t>
    </rPh>
    <rPh sb="6" eb="7">
      <t>ヒ</t>
    </rPh>
    <rPh sb="7" eb="9">
      <t>イガイ</t>
    </rPh>
    <phoneticPr fontId="3"/>
  </si>
  <si>
    <t xml:space="preserve">  (新)減価償却費</t>
    <rPh sb="3" eb="4">
      <t>シン</t>
    </rPh>
    <rPh sb="5" eb="7">
      <t>ゲンカ</t>
    </rPh>
    <rPh sb="7" eb="9">
      <t>ショウキャク</t>
    </rPh>
    <rPh sb="9" eb="10">
      <t>ヒ</t>
    </rPh>
    <phoneticPr fontId="3"/>
  </si>
  <si>
    <t>SBEPの計算</t>
    <rPh sb="5" eb="7">
      <t>ケイサン</t>
    </rPh>
    <phoneticPr fontId="3"/>
  </si>
  <si>
    <t>・・①</t>
    <phoneticPr fontId="3"/>
  </si>
  <si>
    <t>百万円低下・・②</t>
    <rPh sb="0" eb="3">
      <t>ヒャクマンエン</t>
    </rPh>
    <rPh sb="3" eb="5">
      <t>テイカ</t>
    </rPh>
    <phoneticPr fontId="3"/>
  </si>
  <si>
    <t>導入前の固定費を使う場合</t>
    <rPh sb="0" eb="2">
      <t>ドウニュウ</t>
    </rPh>
    <rPh sb="2" eb="3">
      <t>マエ</t>
    </rPh>
    <rPh sb="4" eb="7">
      <t>コテイヒ</t>
    </rPh>
    <rPh sb="8" eb="9">
      <t>ツカ</t>
    </rPh>
    <rPh sb="10" eb="12">
      <t>バアイ</t>
    </rPh>
    <phoneticPr fontId="3"/>
  </si>
  <si>
    <t>百万円低下・・③</t>
    <rPh sb="0" eb="3">
      <t>ヒャクマンエン</t>
    </rPh>
    <rPh sb="3" eb="5">
      <t>テイカ</t>
    </rPh>
    <phoneticPr fontId="3"/>
  </si>
  <si>
    <t>・設問1は「CF計算書は5年に一度は出す」台所事情から出題したと思しき、1次「財務」の基本知識で解ける基本問題。ここでは差がつかず、診断士「事例Ⅳ」でCF計算書が「重要とはいえない」重要証拠。</t>
    <rPh sb="1" eb="3">
      <t>セツモン</t>
    </rPh>
    <rPh sb="8" eb="11">
      <t>ケイサンショ</t>
    </rPh>
    <rPh sb="13" eb="14">
      <t>ネン</t>
    </rPh>
    <rPh sb="15" eb="17">
      <t>イチド</t>
    </rPh>
    <rPh sb="18" eb="19">
      <t>ダ</t>
    </rPh>
    <rPh sb="21" eb="23">
      <t>ダイドコロ</t>
    </rPh>
    <rPh sb="23" eb="25">
      <t>ジジョウ</t>
    </rPh>
    <rPh sb="27" eb="29">
      <t>シュツダイ</t>
    </rPh>
    <rPh sb="32" eb="33">
      <t>オボ</t>
    </rPh>
    <rPh sb="37" eb="38">
      <t>ジ</t>
    </rPh>
    <rPh sb="39" eb="41">
      <t>ザイム</t>
    </rPh>
    <rPh sb="43" eb="45">
      <t>キホン</t>
    </rPh>
    <rPh sb="45" eb="47">
      <t>チシキ</t>
    </rPh>
    <rPh sb="48" eb="49">
      <t>ト</t>
    </rPh>
    <rPh sb="51" eb="53">
      <t>キホン</t>
    </rPh>
    <rPh sb="53" eb="55">
      <t>モンダイ</t>
    </rPh>
    <rPh sb="60" eb="61">
      <t>サ</t>
    </rPh>
    <rPh sb="66" eb="69">
      <t>シンダンシ</t>
    </rPh>
    <rPh sb="70" eb="72">
      <t>ジレイ</t>
    </rPh>
    <rPh sb="77" eb="80">
      <t>ケイサンショ</t>
    </rPh>
    <rPh sb="82" eb="84">
      <t>ジュウヨウ</t>
    </rPh>
    <rPh sb="91" eb="93">
      <t>ジュウヨウ</t>
    </rPh>
    <rPh sb="93" eb="95">
      <t>ショウコ</t>
    </rPh>
    <phoneticPr fontId="3"/>
  </si>
  <si>
    <t>・設問2は、税引後CIFからNPVを求めず、NPV≧0となる税引後CIFを求めさせる良問。類題としてイケカコLecture10 例題1。エクセルで解くとわかるが、設問1⇔2は計算が全くつながらず、「NPVとCF計算書は別論点」とよくわかる好例。</t>
    <rPh sb="1" eb="3">
      <t>セツモン</t>
    </rPh>
    <rPh sb="6" eb="8">
      <t>ゼイビキ</t>
    </rPh>
    <rPh sb="8" eb="9">
      <t>ゴ</t>
    </rPh>
    <rPh sb="18" eb="19">
      <t>モト</t>
    </rPh>
    <rPh sb="30" eb="32">
      <t>ゼイビ</t>
    </rPh>
    <rPh sb="32" eb="33">
      <t>ゴ</t>
    </rPh>
    <rPh sb="37" eb="38">
      <t>モト</t>
    </rPh>
    <rPh sb="42" eb="44">
      <t>リョウモン</t>
    </rPh>
    <rPh sb="45" eb="47">
      <t>ルイダイ</t>
    </rPh>
    <rPh sb="64" eb="66">
      <t>レイダイ</t>
    </rPh>
    <rPh sb="73" eb="74">
      <t>ト</t>
    </rPh>
    <rPh sb="81" eb="83">
      <t>セツモン</t>
    </rPh>
    <rPh sb="87" eb="89">
      <t>ケイサン</t>
    </rPh>
    <rPh sb="90" eb="91">
      <t>マッタ</t>
    </rPh>
    <rPh sb="105" eb="108">
      <t>ケイサンショ</t>
    </rPh>
    <rPh sb="109" eb="110">
      <t>ベツ</t>
    </rPh>
    <rPh sb="110" eb="112">
      <t>ロンテン</t>
    </rPh>
    <rPh sb="119" eb="121">
      <t>コウレイ</t>
    </rPh>
    <phoneticPr fontId="3"/>
  </si>
  <si>
    <t>・第4問もイケカコセオリーに基づき、直接原価計算PLを2期(自社システム導入前、導入後)作り、SBEPを計算する。第4問③は、「②では新システムの減価償却費を入れてね」の趣旨と考えられ、本試験にしては親切なパターン。</t>
    <rPh sb="1" eb="2">
      <t>ダイ</t>
    </rPh>
    <rPh sb="3" eb="4">
      <t>モン</t>
    </rPh>
    <rPh sb="14" eb="15">
      <t>モト</t>
    </rPh>
    <rPh sb="18" eb="20">
      <t>チョクセツ</t>
    </rPh>
    <rPh sb="20" eb="22">
      <t>ゲンカ</t>
    </rPh>
    <rPh sb="22" eb="24">
      <t>ケイサン</t>
    </rPh>
    <rPh sb="28" eb="29">
      <t>キ</t>
    </rPh>
    <rPh sb="30" eb="32">
      <t>ジシャ</t>
    </rPh>
    <rPh sb="36" eb="38">
      <t>ドウニュウ</t>
    </rPh>
    <rPh sb="38" eb="39">
      <t>マエ</t>
    </rPh>
    <rPh sb="40" eb="42">
      <t>ドウニュウ</t>
    </rPh>
    <rPh sb="42" eb="43">
      <t>ゴ</t>
    </rPh>
    <rPh sb="44" eb="45">
      <t>ツク</t>
    </rPh>
    <rPh sb="52" eb="54">
      <t>ケイサン</t>
    </rPh>
    <rPh sb="57" eb="58">
      <t>ダイ</t>
    </rPh>
    <rPh sb="59" eb="60">
      <t>モン</t>
    </rPh>
    <rPh sb="67" eb="68">
      <t>シン</t>
    </rPh>
    <rPh sb="73" eb="75">
      <t>ゲンカ</t>
    </rPh>
    <rPh sb="75" eb="77">
      <t>ショウキャク</t>
    </rPh>
    <rPh sb="77" eb="78">
      <t>ヒ</t>
    </rPh>
    <rPh sb="79" eb="80">
      <t>イ</t>
    </rPh>
    <rPh sb="85" eb="87">
      <t>シュシ</t>
    </rPh>
    <rPh sb="88" eb="89">
      <t>カンガ</t>
    </rPh>
    <rPh sb="93" eb="96">
      <t>ホンシケン</t>
    </rPh>
    <rPh sb="100" eb="102">
      <t>シンセツ</t>
    </rPh>
    <phoneticPr fontId="3"/>
  </si>
  <si>
    <t>・第3問は簡単すぎるので、計算は省略。設問を見た瞬間に「共通固定費配賦前なら黒字」と見抜き、後は50字以内でどう上手に説明するか、各受験校の模範解答を見比べておく。イケカコ例題としては、Lecture 6の例題3。</t>
    <rPh sb="1" eb="2">
      <t>ダイ</t>
    </rPh>
    <rPh sb="3" eb="4">
      <t>モン</t>
    </rPh>
    <rPh sb="5" eb="7">
      <t>カンタン</t>
    </rPh>
    <rPh sb="13" eb="15">
      <t>ケイサン</t>
    </rPh>
    <rPh sb="16" eb="18">
      <t>ショウリャク</t>
    </rPh>
    <rPh sb="19" eb="21">
      <t>セツモン</t>
    </rPh>
    <rPh sb="22" eb="23">
      <t>ミ</t>
    </rPh>
    <rPh sb="24" eb="26">
      <t>シュンカン</t>
    </rPh>
    <rPh sb="28" eb="30">
      <t>キョウツウ</t>
    </rPh>
    <rPh sb="30" eb="33">
      <t>コテイヒ</t>
    </rPh>
    <rPh sb="33" eb="35">
      <t>ハイフ</t>
    </rPh>
    <rPh sb="35" eb="36">
      <t>マエ</t>
    </rPh>
    <rPh sb="38" eb="40">
      <t>クロジ</t>
    </rPh>
    <rPh sb="42" eb="44">
      <t>ミヌ</t>
    </rPh>
    <rPh sb="46" eb="47">
      <t>アト</t>
    </rPh>
    <rPh sb="50" eb="51">
      <t>ジ</t>
    </rPh>
    <rPh sb="51" eb="53">
      <t>イナイ</t>
    </rPh>
    <rPh sb="56" eb="58">
      <t>ジョウズ</t>
    </rPh>
    <rPh sb="59" eb="61">
      <t>セツメイ</t>
    </rPh>
    <rPh sb="65" eb="66">
      <t>カク</t>
    </rPh>
    <rPh sb="66" eb="69">
      <t>ジュケンコウ</t>
    </rPh>
    <rPh sb="70" eb="72">
      <t>モハン</t>
    </rPh>
    <rPh sb="72" eb="74">
      <t>カイトウ</t>
    </rPh>
    <rPh sb="75" eb="77">
      <t>ミクラ</t>
    </rPh>
    <rPh sb="86" eb="88">
      <t>レイダイ</t>
    </rPh>
    <rPh sb="103" eb="105">
      <t>レイダイ</t>
    </rPh>
    <phoneticPr fontId="3"/>
  </si>
  <si>
    <t>※注 第1問経営分析は省略。経営分析は全員が満点を取る出題であり、そこで有意な差はつかない(非関連原価)とするのが、当サイトの立場。</t>
    <rPh sb="1" eb="2">
      <t>チュウ</t>
    </rPh>
    <rPh sb="3" eb="4">
      <t>ダイ</t>
    </rPh>
    <rPh sb="5" eb="6">
      <t>モン</t>
    </rPh>
    <rPh sb="6" eb="8">
      <t>ケイエイ</t>
    </rPh>
    <rPh sb="8" eb="10">
      <t>ブンセキ</t>
    </rPh>
    <rPh sb="11" eb="13">
      <t>ショウリャク</t>
    </rPh>
    <rPh sb="14" eb="16">
      <t>ケイエイ</t>
    </rPh>
    <rPh sb="16" eb="18">
      <t>ブンセキ</t>
    </rPh>
    <rPh sb="19" eb="21">
      <t>ゼンイン</t>
    </rPh>
    <rPh sb="22" eb="24">
      <t>マンテン</t>
    </rPh>
    <rPh sb="25" eb="26">
      <t>ト</t>
    </rPh>
    <rPh sb="27" eb="29">
      <t>シュツダイ</t>
    </rPh>
    <rPh sb="36" eb="38">
      <t>ユウイ</t>
    </rPh>
    <rPh sb="39" eb="40">
      <t>サ</t>
    </rPh>
    <rPh sb="46" eb="47">
      <t>ヒ</t>
    </rPh>
    <rPh sb="47" eb="49">
      <t>カンレン</t>
    </rPh>
    <rPh sb="49" eb="51">
      <t>ゲンカ</t>
    </rPh>
    <rPh sb="58" eb="59">
      <t>トウ</t>
    </rPh>
    <rPh sb="63" eb="65">
      <t>タチバ</t>
    </rPh>
    <phoneticPr fontId="3"/>
  </si>
  <si>
    <t>実践編 H27年 事例Ⅳ</t>
    <rPh sb="0" eb="2">
      <t>ジッセン</t>
    </rPh>
    <rPh sb="2" eb="3">
      <t>ヘン</t>
    </rPh>
    <rPh sb="7" eb="8">
      <t>ネン</t>
    </rPh>
    <rPh sb="9" eb="11">
      <t>ジレイ</t>
    </rPh>
    <phoneticPr fontId="3"/>
  </si>
  <si>
    <t>第2問</t>
    <rPh sb="0" eb="1">
      <t>ダイ</t>
    </rPh>
    <rPh sb="2" eb="3">
      <t>モン</t>
    </rPh>
    <phoneticPr fontId="3"/>
  </si>
  <si>
    <t>売上原価</t>
    <rPh sb="0" eb="2">
      <t>ウリアゲ</t>
    </rPh>
    <rPh sb="2" eb="4">
      <t>ゲンカ</t>
    </rPh>
    <phoneticPr fontId="3"/>
  </si>
  <si>
    <t>売上総利益</t>
    <rPh sb="0" eb="2">
      <t>ウリアゲ</t>
    </rPh>
    <rPh sb="2" eb="5">
      <t>ソウリエキ</t>
    </rPh>
    <phoneticPr fontId="3"/>
  </si>
  <si>
    <t>一般販管費</t>
    <rPh sb="0" eb="2">
      <t>イッパン</t>
    </rPh>
    <rPh sb="2" eb="5">
      <t>ハンカンヒ</t>
    </rPh>
    <phoneticPr fontId="3"/>
  </si>
  <si>
    <t>営業損益</t>
    <rPh sb="0" eb="2">
      <t>エイギョウ</t>
    </rPh>
    <rPh sb="2" eb="4">
      <t>ソンエキ</t>
    </rPh>
    <phoneticPr fontId="3"/>
  </si>
  <si>
    <t>経常損益</t>
    <rPh sb="0" eb="2">
      <t>ケイツネ</t>
    </rPh>
    <rPh sb="2" eb="4">
      <t>ソンエキ</t>
    </rPh>
    <phoneticPr fontId="3"/>
  </si>
  <si>
    <t>特別利益</t>
    <rPh sb="0" eb="2">
      <t>トクベツ</t>
    </rPh>
    <rPh sb="2" eb="4">
      <t>リエキ</t>
    </rPh>
    <phoneticPr fontId="3"/>
  </si>
  <si>
    <t>特別損失</t>
    <rPh sb="0" eb="2">
      <t>トクベツ</t>
    </rPh>
    <rPh sb="2" eb="4">
      <t>ソンシツ</t>
    </rPh>
    <phoneticPr fontId="3"/>
  </si>
  <si>
    <t>税引前当期純損益</t>
    <rPh sb="0" eb="2">
      <t>ゼイビキ</t>
    </rPh>
    <rPh sb="2" eb="3">
      <t>マエ</t>
    </rPh>
    <rPh sb="3" eb="5">
      <t>トウキ</t>
    </rPh>
    <rPh sb="5" eb="8">
      <t>ジュンソンエキ</t>
    </rPh>
    <phoneticPr fontId="3"/>
  </si>
  <si>
    <t>法人税等</t>
    <rPh sb="0" eb="3">
      <t>ホウジンゼイ</t>
    </rPh>
    <rPh sb="3" eb="4">
      <t>トウ</t>
    </rPh>
    <phoneticPr fontId="3"/>
  </si>
  <si>
    <t>当期純損益</t>
    <rPh sb="0" eb="2">
      <t>トウキ</t>
    </rPh>
    <rPh sb="2" eb="5">
      <t>ジュンソンエキ</t>
    </rPh>
    <phoneticPr fontId="3"/>
  </si>
  <si>
    <t>第3期</t>
    <rPh sb="0" eb="1">
      <t>ダイ</t>
    </rPh>
    <rPh sb="2" eb="3">
      <t>キ</t>
    </rPh>
    <phoneticPr fontId="3"/>
  </si>
  <si>
    <t>第2期</t>
    <rPh sb="0" eb="1">
      <t>ダイ</t>
    </rPh>
    <rPh sb="2" eb="3">
      <t>キ</t>
    </rPh>
    <phoneticPr fontId="3"/>
  </si>
  <si>
    <t>変動分</t>
    <rPh sb="0" eb="2">
      <t>ヘンドウ</t>
    </rPh>
    <rPh sb="2" eb="3">
      <t>ブン</t>
    </rPh>
    <phoneticPr fontId="3"/>
  </si>
  <si>
    <t>固定分</t>
    <rPh sb="0" eb="2">
      <t>コテイ</t>
    </rPh>
    <rPh sb="2" eb="3">
      <t>ブン</t>
    </rPh>
    <phoneticPr fontId="3"/>
  </si>
  <si>
    <t>予想PL計</t>
    <rPh sb="0" eb="2">
      <t>ヨソウ</t>
    </rPh>
    <rPh sb="4" eb="5">
      <t>ケイ</t>
    </rPh>
    <phoneticPr fontId="3"/>
  </si>
  <si>
    <t>前期PL計</t>
    <rPh sb="0" eb="2">
      <t>ゼンキ</t>
    </rPh>
    <rPh sb="4" eb="5">
      <t>ケイ</t>
    </rPh>
    <phoneticPr fontId="3"/>
  </si>
  <si>
    <t>(設問1)</t>
    <rPh sb="1" eb="3">
      <t>セツモン</t>
    </rPh>
    <phoneticPr fontId="3"/>
  </si>
  <si>
    <t>(設問2)</t>
    <rPh sb="1" eb="3">
      <t>セツモン</t>
    </rPh>
    <phoneticPr fontId="3"/>
  </si>
  <si>
    <t>第3期の予想PLでは、売上高の▲10%減により、黒字だった営業利益が見事に赤字に変わる。</t>
    <rPh sb="0" eb="1">
      <t>ダイ</t>
    </rPh>
    <rPh sb="2" eb="3">
      <t>キ</t>
    </rPh>
    <rPh sb="4" eb="6">
      <t>ヨソウ</t>
    </rPh>
    <rPh sb="11" eb="13">
      <t>ウリアゲ</t>
    </rPh>
    <rPh sb="13" eb="14">
      <t>ダカ</t>
    </rPh>
    <rPh sb="19" eb="20">
      <t>ゲン</t>
    </rPh>
    <rPh sb="24" eb="26">
      <t>クロジ</t>
    </rPh>
    <rPh sb="29" eb="31">
      <t>エイギョウ</t>
    </rPh>
    <rPh sb="31" eb="33">
      <t>リエキ</t>
    </rPh>
    <rPh sb="34" eb="36">
      <t>ミゴト</t>
    </rPh>
    <rPh sb="37" eb="39">
      <t>アカジ</t>
    </rPh>
    <rPh sb="40" eb="41">
      <t>カ</t>
    </rPh>
    <phoneticPr fontId="3"/>
  </si>
  <si>
    <t>そうなる理由→固定費が高いことを指摘させる文章題。</t>
    <rPh sb="4" eb="6">
      <t>リユウ</t>
    </rPh>
    <rPh sb="7" eb="10">
      <t>コテイヒ</t>
    </rPh>
    <rPh sb="11" eb="12">
      <t>タカ</t>
    </rPh>
    <rPh sb="16" eb="18">
      <t>シテキ</t>
    </rPh>
    <rPh sb="21" eb="24">
      <t>ブンショウダイ</t>
    </rPh>
    <phoneticPr fontId="3"/>
  </si>
  <si>
    <t>この手の変動理由は、意思決定会計特有の｢感度分析｣の問題を何度か解けば身に付くので、最初は文章題は後回しにし、時間ロスを避ける。</t>
    <rPh sb="2" eb="3">
      <t>テ</t>
    </rPh>
    <rPh sb="4" eb="6">
      <t>ヘンドウ</t>
    </rPh>
    <rPh sb="6" eb="8">
      <t>リユウ</t>
    </rPh>
    <rPh sb="10" eb="12">
      <t>イシ</t>
    </rPh>
    <rPh sb="12" eb="14">
      <t>ケッテイ</t>
    </rPh>
    <rPh sb="14" eb="16">
      <t>カイケイ</t>
    </rPh>
    <rPh sb="16" eb="18">
      <t>トクユウ</t>
    </rPh>
    <rPh sb="20" eb="22">
      <t>カンド</t>
    </rPh>
    <rPh sb="22" eb="24">
      <t>ブンセキ</t>
    </rPh>
    <rPh sb="26" eb="28">
      <t>モンダイ</t>
    </rPh>
    <rPh sb="29" eb="31">
      <t>ナンド</t>
    </rPh>
    <rPh sb="32" eb="33">
      <t>ト</t>
    </rPh>
    <rPh sb="35" eb="36">
      <t>ミ</t>
    </rPh>
    <rPh sb="37" eb="38">
      <t>ツ</t>
    </rPh>
    <rPh sb="42" eb="44">
      <t>サイショ</t>
    </rPh>
    <rPh sb="45" eb="48">
      <t>ブンショウダイ</t>
    </rPh>
    <rPh sb="49" eb="51">
      <t>アトマワ</t>
    </rPh>
    <rPh sb="55" eb="57">
      <t>ジカン</t>
    </rPh>
    <rPh sb="60" eb="61">
      <t>サ</t>
    </rPh>
    <phoneticPr fontId="3"/>
  </si>
  <si>
    <t>(設問3)CVP分析</t>
    <rPh sb="1" eb="3">
      <t>セツモン</t>
    </rPh>
    <rPh sb="8" eb="10">
      <t>ブンセキ</t>
    </rPh>
    <phoneticPr fontId="3"/>
  </si>
  <si>
    <t>予想PLを、直接原価計算PLに組み替える</t>
    <rPh sb="0" eb="2">
      <t>ヨソウ</t>
    </rPh>
    <rPh sb="6" eb="8">
      <t>チョクセツ</t>
    </rPh>
    <rPh sb="8" eb="10">
      <t>ゲンカ</t>
    </rPh>
    <rPh sb="10" eb="12">
      <t>ケイサン</t>
    </rPh>
    <rPh sb="15" eb="16">
      <t>ク</t>
    </rPh>
    <rPh sb="17" eb="18">
      <t>カ</t>
    </rPh>
    <phoneticPr fontId="3"/>
  </si>
  <si>
    <t>変動製造原価</t>
    <rPh sb="0" eb="2">
      <t>ヘンドウ</t>
    </rPh>
    <rPh sb="2" eb="4">
      <t>セイゾウ</t>
    </rPh>
    <rPh sb="4" eb="6">
      <t>ゲンカ</t>
    </rPh>
    <phoneticPr fontId="3"/>
  </si>
  <si>
    <t>変動販管費</t>
    <rPh sb="0" eb="2">
      <t>ヘンドウ</t>
    </rPh>
    <rPh sb="2" eb="5">
      <t>ハンカンヒ</t>
    </rPh>
    <phoneticPr fontId="3"/>
  </si>
  <si>
    <t>固定製造原価</t>
    <rPh sb="0" eb="2">
      <t>コテイ</t>
    </rPh>
    <rPh sb="2" eb="4">
      <t>セイゾウ</t>
    </rPh>
    <rPh sb="4" eb="6">
      <t>ゲンカ</t>
    </rPh>
    <phoneticPr fontId="3"/>
  </si>
  <si>
    <t>固定販管費</t>
    <rPh sb="0" eb="2">
      <t>コテイ</t>
    </rPh>
    <rPh sb="2" eb="5">
      <t>ハンカンヒ</t>
    </rPh>
    <phoneticPr fontId="3"/>
  </si>
  <si>
    <t>調整後固定費(目標利益や営業外損益での調整後)</t>
    <rPh sb="0" eb="3">
      <t>チョウセイゴ</t>
    </rPh>
    <rPh sb="3" eb="6">
      <t>コテイヒ</t>
    </rPh>
    <rPh sb="7" eb="9">
      <t>モクヒョウ</t>
    </rPh>
    <rPh sb="9" eb="11">
      <t>リエキ</t>
    </rPh>
    <rPh sb="12" eb="15">
      <t>エイギョウガイ</t>
    </rPh>
    <rPh sb="15" eb="17">
      <t>ソンエキ</t>
    </rPh>
    <rPh sb="19" eb="22">
      <t>チョウセイゴ</t>
    </rPh>
    <phoneticPr fontId="3"/>
  </si>
  <si>
    <t>目標経常利益</t>
    <rPh sb="0" eb="2">
      <t>モクヒョウ</t>
    </rPh>
    <rPh sb="2" eb="4">
      <t>ケイツネ</t>
    </rPh>
    <rPh sb="4" eb="6">
      <t>リエキ</t>
    </rPh>
    <phoneticPr fontId="3"/>
  </si>
  <si>
    <t>限界利益率</t>
    <rPh sb="0" eb="2">
      <t>ゲンカイ</t>
    </rPh>
    <rPh sb="2" eb="4">
      <t>リエキ</t>
    </rPh>
    <rPh sb="4" eb="5">
      <t>リツ</t>
    </rPh>
    <phoneticPr fontId="3"/>
  </si>
  <si>
    <t>必要売上高</t>
    <rPh sb="0" eb="2">
      <t>ヒツヨウ</t>
    </rPh>
    <rPh sb="2" eb="4">
      <t>ウリアゲ</t>
    </rPh>
    <rPh sb="4" eb="5">
      <t>ダカ</t>
    </rPh>
    <phoneticPr fontId="3"/>
  </si>
  <si>
    <t>(1)</t>
    <phoneticPr fontId="3"/>
  </si>
  <si>
    <t>(2)</t>
    <phoneticPr fontId="3"/>
  </si>
  <si>
    <t>文章の解釈に悩むが、(1)の計算結果をいったん捨て、予想PLに戻り、固定費額をまず削る。</t>
    <rPh sb="0" eb="2">
      <t>ブンショウ</t>
    </rPh>
    <rPh sb="3" eb="5">
      <t>カイシャク</t>
    </rPh>
    <rPh sb="6" eb="7">
      <t>ナヤ</t>
    </rPh>
    <rPh sb="14" eb="16">
      <t>ケイサン</t>
    </rPh>
    <rPh sb="16" eb="18">
      <t>ケッカ</t>
    </rPh>
    <rPh sb="23" eb="24">
      <t>ス</t>
    </rPh>
    <rPh sb="26" eb="28">
      <t>ヨソウ</t>
    </rPh>
    <rPh sb="31" eb="32">
      <t>モド</t>
    </rPh>
    <rPh sb="34" eb="37">
      <t>コテイヒ</t>
    </rPh>
    <rPh sb="37" eb="38">
      <t>ガク</t>
    </rPh>
    <rPh sb="41" eb="42">
      <t>ケズ</t>
    </rPh>
    <phoneticPr fontId="3"/>
  </si>
  <si>
    <t>現在の固定費</t>
    <rPh sb="0" eb="2">
      <t>ゲンザイ</t>
    </rPh>
    <rPh sb="3" eb="6">
      <t>コテイヒ</t>
    </rPh>
    <phoneticPr fontId="3"/>
  </si>
  <si>
    <t>予想経常利益</t>
    <rPh sb="0" eb="2">
      <t>ヨソウ</t>
    </rPh>
    <rPh sb="2" eb="4">
      <t>ケイツネ</t>
    </rPh>
    <rPh sb="4" eb="6">
      <t>リエキ</t>
    </rPh>
    <phoneticPr fontId="3"/>
  </si>
  <si>
    <t>削減後の固定費</t>
    <rPh sb="0" eb="2">
      <t>サクゲン</t>
    </rPh>
    <rPh sb="2" eb="3">
      <t>ゴ</t>
    </rPh>
    <rPh sb="4" eb="7">
      <t>コテイヒ</t>
    </rPh>
    <phoneticPr fontId="3"/>
  </si>
  <si>
    <t>損益分岐点売上高</t>
    <rPh sb="0" eb="2">
      <t>ソンエキ</t>
    </rPh>
    <rPh sb="2" eb="5">
      <t>ブンキテン</t>
    </rPh>
    <rPh sb="5" eb="7">
      <t>ウリアゲ</t>
    </rPh>
    <rPh sb="7" eb="8">
      <t>ダカ</t>
    </rPh>
    <phoneticPr fontId="3"/>
  </si>
  <si>
    <t>営業外収益の加減算</t>
    <rPh sb="0" eb="3">
      <t>エイギョウガイ</t>
    </rPh>
    <rPh sb="3" eb="5">
      <t>シュウエキ</t>
    </rPh>
    <rPh sb="6" eb="7">
      <t>カ</t>
    </rPh>
    <rPh sb="7" eb="9">
      <t>ゲンサン</t>
    </rPh>
    <phoneticPr fontId="3"/>
  </si>
  <si>
    <t>←ここを忘れがち</t>
    <rPh sb="4" eb="5">
      <t>ワス</t>
    </rPh>
    <phoneticPr fontId="3"/>
  </si>
  <si>
    <t>ここは良問</t>
    <rPh sb="3" eb="5">
      <t>リョウモン</t>
    </rPh>
    <phoneticPr fontId="3"/>
  </si>
  <si>
    <t>営業外損益の扱いが難しいので、ここは無理に当てなくて良い。</t>
    <rPh sb="0" eb="3">
      <t>エイギョウガイ</t>
    </rPh>
    <rPh sb="3" eb="5">
      <t>ソンエキ</t>
    </rPh>
    <rPh sb="6" eb="7">
      <t>アツカ</t>
    </rPh>
    <rPh sb="9" eb="10">
      <t>ムズカ</t>
    </rPh>
    <rPh sb="18" eb="20">
      <t>ムリ</t>
    </rPh>
    <rPh sb="21" eb="22">
      <t>ア</t>
    </rPh>
    <rPh sb="26" eb="27">
      <t>ヨ</t>
    </rPh>
    <phoneticPr fontId="3"/>
  </si>
  <si>
    <t>営業外損益｢11｣を考慮しなくても、ある程度の部分点が期待できる。</t>
    <rPh sb="0" eb="3">
      <t>エイギョウガイ</t>
    </rPh>
    <rPh sb="3" eb="5">
      <t>ソンエキ</t>
    </rPh>
    <rPh sb="10" eb="12">
      <t>コウリョ</t>
    </rPh>
    <rPh sb="20" eb="22">
      <t>テイド</t>
    </rPh>
    <rPh sb="23" eb="26">
      <t>ブブンテン</t>
    </rPh>
    <rPh sb="27" eb="29">
      <t>キタイ</t>
    </rPh>
    <phoneticPr fontId="3"/>
  </si>
  <si>
    <t>・(設問1)で全部原価計算のPLを作らせ、(設問2)でその感度分析の説明、(設問3)で直接原価計算PL→CVP分析までつながる良問。(設問3-2)以外は当てるのが合格ライン。</t>
    <rPh sb="2" eb="4">
      <t>セツモン</t>
    </rPh>
    <rPh sb="7" eb="9">
      <t>ゼンブ</t>
    </rPh>
    <rPh sb="9" eb="11">
      <t>ゲンカ</t>
    </rPh>
    <rPh sb="11" eb="13">
      <t>ケイサン</t>
    </rPh>
    <rPh sb="17" eb="18">
      <t>ツク</t>
    </rPh>
    <rPh sb="22" eb="24">
      <t>セツモン</t>
    </rPh>
    <rPh sb="29" eb="31">
      <t>カンド</t>
    </rPh>
    <rPh sb="31" eb="33">
      <t>ブンセキ</t>
    </rPh>
    <rPh sb="34" eb="36">
      <t>セツメイ</t>
    </rPh>
    <rPh sb="38" eb="40">
      <t>セツモン</t>
    </rPh>
    <rPh sb="43" eb="45">
      <t>チョクセツ</t>
    </rPh>
    <rPh sb="45" eb="47">
      <t>ゲンカ</t>
    </rPh>
    <rPh sb="47" eb="49">
      <t>ケイサン</t>
    </rPh>
    <rPh sb="55" eb="57">
      <t>ブンセキ</t>
    </rPh>
    <rPh sb="63" eb="65">
      <t>リョウモン</t>
    </rPh>
    <rPh sb="67" eb="69">
      <t>セツモン</t>
    </rPh>
    <rPh sb="73" eb="75">
      <t>イガイ</t>
    </rPh>
    <rPh sb="76" eb="77">
      <t>ア</t>
    </rPh>
    <rPh sb="81" eb="83">
      <t>ゴウカク</t>
    </rPh>
    <phoneticPr fontId="3"/>
  </si>
  <si>
    <t>・CVP分析が少し高度になると、どうしても簿記・原価計算っぽい解き方になる。ただ｢Ⅳ｣は深い簿記知識を前提としないので、｢目標利益や営業外損益は固定費の修正項目｣と割り切ってCVP分析に進んでも良い。</t>
    <rPh sb="4" eb="6">
      <t>ブンセキ</t>
    </rPh>
    <rPh sb="7" eb="8">
      <t>スコ</t>
    </rPh>
    <rPh sb="9" eb="11">
      <t>コウド</t>
    </rPh>
    <rPh sb="21" eb="23">
      <t>ボキ</t>
    </rPh>
    <rPh sb="24" eb="26">
      <t>ゲンカ</t>
    </rPh>
    <rPh sb="26" eb="28">
      <t>ケイサン</t>
    </rPh>
    <rPh sb="31" eb="32">
      <t>ト</t>
    </rPh>
    <rPh sb="33" eb="34">
      <t>カタ</t>
    </rPh>
    <rPh sb="44" eb="45">
      <t>フカ</t>
    </rPh>
    <rPh sb="46" eb="48">
      <t>ボキ</t>
    </rPh>
    <rPh sb="48" eb="50">
      <t>チシキ</t>
    </rPh>
    <rPh sb="51" eb="53">
      <t>ゼンテイ</t>
    </rPh>
    <rPh sb="61" eb="63">
      <t>モクヒョウ</t>
    </rPh>
    <rPh sb="63" eb="65">
      <t>リエキ</t>
    </rPh>
    <rPh sb="66" eb="69">
      <t>エイギョウガイ</t>
    </rPh>
    <rPh sb="69" eb="71">
      <t>ソンエキ</t>
    </rPh>
    <rPh sb="72" eb="75">
      <t>コテイヒ</t>
    </rPh>
    <rPh sb="76" eb="78">
      <t>シュウセイ</t>
    </rPh>
    <rPh sb="78" eb="80">
      <t>コウモク</t>
    </rPh>
    <rPh sb="82" eb="83">
      <t>ワ</t>
    </rPh>
    <rPh sb="84" eb="85">
      <t>キ</t>
    </rPh>
    <rPh sb="90" eb="92">
      <t>ブンセキ</t>
    </rPh>
    <rPh sb="93" eb="94">
      <t>スス</t>
    </rPh>
    <rPh sb="97" eb="98">
      <t>ヨ</t>
    </rPh>
    <phoneticPr fontId="3"/>
  </si>
  <si>
    <t>第3問 解き方</t>
    <rPh sb="0" eb="1">
      <t>ダイ</t>
    </rPh>
    <rPh sb="2" eb="3">
      <t>モン</t>
    </rPh>
    <rPh sb="4" eb="5">
      <t>ト</t>
    </rPh>
    <rPh sb="6" eb="7">
      <t>カタ</t>
    </rPh>
    <phoneticPr fontId="3"/>
  </si>
  <si>
    <t>遊休化する機械設備gに関するコストは、同額原価なので計算上は考慮しなくて良い。</t>
    <rPh sb="0" eb="3">
      <t>ユウキュウカ</t>
    </rPh>
    <rPh sb="5" eb="7">
      <t>キカイ</t>
    </rPh>
    <rPh sb="7" eb="9">
      <t>セツビ</t>
    </rPh>
    <rPh sb="11" eb="12">
      <t>カン</t>
    </rPh>
    <rPh sb="19" eb="21">
      <t>ドウガク</t>
    </rPh>
    <rPh sb="21" eb="23">
      <t>ゲンカ</t>
    </rPh>
    <rPh sb="26" eb="28">
      <t>ケイサン</t>
    </rPh>
    <rPh sb="28" eb="29">
      <t>ジョウ</t>
    </rPh>
    <rPh sb="30" eb="32">
      <t>コウリョ</t>
    </rPh>
    <rPh sb="36" eb="37">
      <t>ヨ</t>
    </rPh>
    <phoneticPr fontId="3"/>
  </si>
  <si>
    <t>(設問1)プロジェクトZのネット・キャッシュ・フローの計算</t>
    <rPh sb="1" eb="3">
      <t>セツモン</t>
    </rPh>
    <rPh sb="27" eb="29">
      <t>ケイサン</t>
    </rPh>
    <phoneticPr fontId="3"/>
  </si>
  <si>
    <t>第X3期</t>
    <rPh sb="0" eb="1">
      <t>ダイ</t>
    </rPh>
    <rPh sb="3" eb="4">
      <t>キ</t>
    </rPh>
    <phoneticPr fontId="3"/>
  </si>
  <si>
    <t>第X4期</t>
    <rPh sb="0" eb="1">
      <t>ダイ</t>
    </rPh>
    <rPh sb="3" eb="4">
      <t>キ</t>
    </rPh>
    <phoneticPr fontId="3"/>
  </si>
  <si>
    <t>第X5期</t>
    <rPh sb="0" eb="1">
      <t>ダイ</t>
    </rPh>
    <rPh sb="3" eb="4">
      <t>キ</t>
    </rPh>
    <phoneticPr fontId="3"/>
  </si>
  <si>
    <t>現金収入</t>
    <rPh sb="0" eb="2">
      <t>ゲンキン</t>
    </rPh>
    <rPh sb="2" eb="4">
      <t>シュウニュウ</t>
    </rPh>
    <phoneticPr fontId="3"/>
  </si>
  <si>
    <t>現金支出</t>
    <rPh sb="0" eb="2">
      <t>ゲンキン</t>
    </rPh>
    <rPh sb="2" eb="4">
      <t>シシュツ</t>
    </rPh>
    <phoneticPr fontId="3"/>
  </si>
  <si>
    <t>期首</t>
    <rPh sb="0" eb="2">
      <t>キシュ</t>
    </rPh>
    <phoneticPr fontId="3"/>
  </si>
  <si>
    <t>機械設備の減価償却費</t>
    <rPh sb="0" eb="2">
      <t>キカイ</t>
    </rPh>
    <rPh sb="2" eb="4">
      <t>セツビ</t>
    </rPh>
    <rPh sb="5" eb="7">
      <t>ゲンカ</t>
    </rPh>
    <rPh sb="7" eb="9">
      <t>ショウキャク</t>
    </rPh>
    <rPh sb="9" eb="10">
      <t>ヒ</t>
    </rPh>
    <phoneticPr fontId="3"/>
  </si>
  <si>
    <t>h機械</t>
    <rPh sb="1" eb="3">
      <t>キカイ</t>
    </rPh>
    <phoneticPr fontId="3"/>
  </si>
  <si>
    <t>取得原価</t>
    <rPh sb="0" eb="2">
      <t>シュトク</t>
    </rPh>
    <rPh sb="2" eb="4">
      <t>ゲンカ</t>
    </rPh>
    <phoneticPr fontId="3"/>
  </si>
  <si>
    <t>償却年数</t>
    <rPh sb="0" eb="2">
      <t>ショウキャク</t>
    </rPh>
    <rPh sb="2" eb="4">
      <t>ネンスウ</t>
    </rPh>
    <phoneticPr fontId="3"/>
  </si>
  <si>
    <t>償却費/年</t>
    <rPh sb="0" eb="2">
      <t>ショウキャク</t>
    </rPh>
    <rPh sb="2" eb="3">
      <t>ヒ</t>
    </rPh>
    <rPh sb="4" eb="5">
      <t>ネン</t>
    </rPh>
    <phoneticPr fontId="3"/>
  </si>
  <si>
    <t>事業活動外損失(case2)</t>
    <rPh sb="0" eb="2">
      <t>ジギョウ</t>
    </rPh>
    <rPh sb="2" eb="4">
      <t>カツドウ</t>
    </rPh>
    <rPh sb="4" eb="5">
      <t>ガイ</t>
    </rPh>
    <rPh sb="5" eb="7">
      <t>ソンシツ</t>
    </rPh>
    <phoneticPr fontId="3"/>
  </si>
  <si>
    <t>法人税額</t>
    <rPh sb="0" eb="3">
      <t>ホウジンゼイ</t>
    </rPh>
    <rPh sb="3" eb="4">
      <t>ガク</t>
    </rPh>
    <phoneticPr fontId="3"/>
  </si>
  <si>
    <t>運転資本増減</t>
    <rPh sb="0" eb="2">
      <t>ウンテン</t>
    </rPh>
    <rPh sb="2" eb="4">
      <t>シホン</t>
    </rPh>
    <rPh sb="4" eb="6">
      <t>ゾウゲン</t>
    </rPh>
    <phoneticPr fontId="3"/>
  </si>
  <si>
    <t>法人税額(case2)</t>
    <rPh sb="0" eb="3">
      <t>ホウジンゼイ</t>
    </rPh>
    <rPh sb="3" eb="4">
      <t>ガク</t>
    </rPh>
    <phoneticPr fontId="3"/>
  </si>
  <si>
    <t>ケース1</t>
    <phoneticPr fontId="3"/>
  </si>
  <si>
    <t>ケース2</t>
    <phoneticPr fontId="3"/>
  </si>
  <si>
    <t>g機械</t>
    <rPh sb="1" eb="3">
      <t>キカイ</t>
    </rPh>
    <phoneticPr fontId="3"/>
  </si>
  <si>
    <t>Cash In</t>
    <phoneticPr fontId="3"/>
  </si>
  <si>
    <t>Cash Out</t>
    <phoneticPr fontId="3"/>
  </si>
  <si>
    <t>正味CF</t>
    <rPh sb="0" eb="2">
      <t>ショウミ</t>
    </rPh>
    <phoneticPr fontId="3"/>
  </si>
  <si>
    <t>(g機械減価償却費)</t>
    <rPh sb="2" eb="4">
      <t>キカイ</t>
    </rPh>
    <rPh sb="4" eb="6">
      <t>ゲンカ</t>
    </rPh>
    <rPh sb="6" eb="8">
      <t>ショウキャク</t>
    </rPh>
    <rPh sb="8" eb="9">
      <t>ヒ</t>
    </rPh>
    <phoneticPr fontId="3"/>
  </si>
  <si>
    <t>非資金費用</t>
    <rPh sb="0" eb="1">
      <t>ヒ</t>
    </rPh>
    <rPh sb="1" eb="3">
      <t>シキン</t>
    </rPh>
    <rPh sb="3" eb="5">
      <t>ヒヨウ</t>
    </rPh>
    <phoneticPr fontId="3"/>
  </si>
  <si>
    <t>機械設備h導入時の正味CFの計算</t>
    <rPh sb="0" eb="2">
      <t>キカイ</t>
    </rPh>
    <rPh sb="2" eb="4">
      <t>セツビ</t>
    </rPh>
    <rPh sb="5" eb="7">
      <t>ドウニュウ</t>
    </rPh>
    <rPh sb="7" eb="8">
      <t>ジ</t>
    </rPh>
    <rPh sb="9" eb="11">
      <t>ショウミ</t>
    </rPh>
    <rPh sb="14" eb="16">
      <t>ケイサン</t>
    </rPh>
    <phoneticPr fontId="3"/>
  </si>
  <si>
    <t>(g+h機械減価償却費)</t>
    <rPh sb="4" eb="6">
      <t>キカイ</t>
    </rPh>
    <rPh sb="6" eb="8">
      <t>ゲンカ</t>
    </rPh>
    <rPh sb="8" eb="10">
      <t>ショウキャク</t>
    </rPh>
    <rPh sb="10" eb="11">
      <t>ヒ</t>
    </rPh>
    <phoneticPr fontId="3"/>
  </si>
  <si>
    <t>PJ-Z</t>
    <phoneticPr fontId="3"/>
  </si>
  <si>
    <t>PJ-E</t>
    <phoneticPr fontId="3"/>
  </si>
  <si>
    <t>現価係数</t>
    <rPh sb="0" eb="2">
      <t>ゲンカ</t>
    </rPh>
    <rPh sb="2" eb="4">
      <t>ケイスウ</t>
    </rPh>
    <phoneticPr fontId="3"/>
  </si>
  <si>
    <t>NPV</t>
    <phoneticPr fontId="3"/>
  </si>
  <si>
    <t>←h機械の簿価32百万円はCash Inに含める</t>
    <rPh sb="2" eb="4">
      <t>キカイ</t>
    </rPh>
    <rPh sb="5" eb="7">
      <t>ボカ</t>
    </rPh>
    <rPh sb="9" eb="12">
      <t>ヒャクマンエン</t>
    </rPh>
    <rPh sb="21" eb="22">
      <t>フク</t>
    </rPh>
    <phoneticPr fontId="3"/>
  </si>
  <si>
    <t>○こちらを採用</t>
    <rPh sb="5" eb="7">
      <t>サイヨウ</t>
    </rPh>
    <phoneticPr fontId="3"/>
  </si>
  <si>
    <t>(設問3)</t>
    <rPh sb="1" eb="3">
      <t>セツモン</t>
    </rPh>
    <phoneticPr fontId="3"/>
  </si>
  <si>
    <t>正解：回収期間法</t>
    <rPh sb="0" eb="2">
      <t>セイカイ</t>
    </rPh>
    <rPh sb="3" eb="5">
      <t>カイシュウ</t>
    </rPh>
    <rPh sb="5" eb="7">
      <t>キカン</t>
    </rPh>
    <rPh sb="7" eb="8">
      <t>ホウ</t>
    </rPh>
    <phoneticPr fontId="3"/>
  </si>
  <si>
    <t>PJ-Z</t>
    <phoneticPr fontId="3"/>
  </si>
  <si>
    <t>PJ-E</t>
    <phoneticPr fontId="3"/>
  </si>
  <si>
    <t>年</t>
    <rPh sb="0" eb="1">
      <t>ネン</t>
    </rPh>
    <phoneticPr fontId="3"/>
  </si>
  <si>
    <t>別解：PI法</t>
    <rPh sb="0" eb="1">
      <t>ベツ</t>
    </rPh>
    <rPh sb="1" eb="2">
      <t>カイ</t>
    </rPh>
    <rPh sb="5" eb="6">
      <t>ホウ</t>
    </rPh>
    <phoneticPr fontId="3"/>
  </si>
  <si>
    <t>TACの正解｢回収期間法｣でもちろん正しいが、毎年のPVを計算させており、PI法でもほぼ同じ点数をもらえると考えたい。</t>
    <rPh sb="4" eb="6">
      <t>セイカイ</t>
    </rPh>
    <rPh sb="7" eb="9">
      <t>カイシュウ</t>
    </rPh>
    <rPh sb="9" eb="11">
      <t>キカン</t>
    </rPh>
    <rPh sb="11" eb="12">
      <t>ホウ</t>
    </rPh>
    <rPh sb="18" eb="19">
      <t>タダ</t>
    </rPh>
    <rPh sb="23" eb="25">
      <t>マイトシ</t>
    </rPh>
    <rPh sb="29" eb="31">
      <t>ケイサン</t>
    </rPh>
    <rPh sb="39" eb="40">
      <t>ホウ</t>
    </rPh>
    <rPh sb="44" eb="45">
      <t>オナ</t>
    </rPh>
    <rPh sb="46" eb="48">
      <t>テンスウ</t>
    </rPh>
    <rPh sb="54" eb="55">
      <t>カンガ</t>
    </rPh>
    <phoneticPr fontId="3"/>
  </si>
  <si>
    <t>年←有利</t>
    <rPh sb="0" eb="1">
      <t>ネン</t>
    </rPh>
    <rPh sb="2" eb="4">
      <t>ユウリ</t>
    </rPh>
    <phoneticPr fontId="3"/>
  </si>
  <si>
    <t>←有利</t>
    <rPh sb="1" eb="3">
      <t>ユウリ</t>
    </rPh>
    <phoneticPr fontId="3"/>
  </si>
  <si>
    <t>・NPV法の問題。イケカコや簿記1級の様に複雑な計算はさせないが、正味CF(税引後CIF)に何を含めるか、運転資本増減の扱いを問うため、一発でピタリとは正解になりにくい。</t>
    <rPh sb="4" eb="5">
      <t>ホウ</t>
    </rPh>
    <rPh sb="6" eb="8">
      <t>モンダイ</t>
    </rPh>
    <rPh sb="14" eb="16">
      <t>ボキ</t>
    </rPh>
    <rPh sb="17" eb="18">
      <t>キュウ</t>
    </rPh>
    <rPh sb="19" eb="20">
      <t>ヨウ</t>
    </rPh>
    <rPh sb="21" eb="23">
      <t>フクザツ</t>
    </rPh>
    <rPh sb="24" eb="26">
      <t>ケイサン</t>
    </rPh>
    <rPh sb="33" eb="35">
      <t>ショウミ</t>
    </rPh>
    <rPh sb="38" eb="40">
      <t>ゼイビキ</t>
    </rPh>
    <rPh sb="40" eb="41">
      <t>ゴ</t>
    </rPh>
    <rPh sb="46" eb="47">
      <t>ナニ</t>
    </rPh>
    <rPh sb="48" eb="49">
      <t>フク</t>
    </rPh>
    <rPh sb="53" eb="55">
      <t>ウンテン</t>
    </rPh>
    <rPh sb="55" eb="57">
      <t>シホン</t>
    </rPh>
    <rPh sb="57" eb="59">
      <t>ゾウゲン</t>
    </rPh>
    <rPh sb="60" eb="61">
      <t>アツカ</t>
    </rPh>
    <rPh sb="63" eb="64">
      <t>ト</t>
    </rPh>
    <rPh sb="68" eb="70">
      <t>イッパツ</t>
    </rPh>
    <rPh sb="76" eb="78">
      <t>セイカイ</t>
    </rPh>
    <phoneticPr fontId="3"/>
  </si>
  <si>
    <t>・過去問解説を見るとむしろ迷うため、過去問解説の答えをいったん正と信じ、｢最終的に手元に入るカネはいくらか｣を考え、どれがCash In、どれがCash Outになるかを、まず一つ一つ覚えていくことが良い。</t>
    <rPh sb="1" eb="4">
      <t>カコモン</t>
    </rPh>
    <rPh sb="4" eb="6">
      <t>カイセツ</t>
    </rPh>
    <rPh sb="7" eb="8">
      <t>ミ</t>
    </rPh>
    <rPh sb="13" eb="14">
      <t>マヨ</t>
    </rPh>
    <rPh sb="18" eb="21">
      <t>カコモン</t>
    </rPh>
    <rPh sb="21" eb="23">
      <t>カイセツ</t>
    </rPh>
    <rPh sb="24" eb="25">
      <t>コタ</t>
    </rPh>
    <rPh sb="31" eb="32">
      <t>セイ</t>
    </rPh>
    <rPh sb="33" eb="34">
      <t>シン</t>
    </rPh>
    <rPh sb="37" eb="40">
      <t>サイシュウテキ</t>
    </rPh>
    <rPh sb="41" eb="43">
      <t>テモト</t>
    </rPh>
    <rPh sb="44" eb="45">
      <t>ハイ</t>
    </rPh>
    <rPh sb="55" eb="56">
      <t>カンガ</t>
    </rPh>
    <rPh sb="88" eb="89">
      <t>ヒト</t>
    </rPh>
    <rPh sb="90" eb="91">
      <t>ヒト</t>
    </rPh>
    <rPh sb="92" eb="93">
      <t>オボ</t>
    </rPh>
    <rPh sb="100" eb="101">
      <t>ヨ</t>
    </rPh>
    <phoneticPr fontId="3"/>
  </si>
  <si>
    <t>・｢事例Ⅳ｣計算問題は、文章の解釈次第で計算に含める・含めないの解釈が割れることが多く、計算結果が正解ピタリでなくても、ある程度の部分点を期待して良い。ただし正解ピタリの方が点は高いはず。</t>
    <rPh sb="2" eb="4">
      <t>ジレイ</t>
    </rPh>
    <rPh sb="6" eb="8">
      <t>ケイサン</t>
    </rPh>
    <rPh sb="8" eb="10">
      <t>モンダイ</t>
    </rPh>
    <rPh sb="12" eb="14">
      <t>ブンショウ</t>
    </rPh>
    <rPh sb="15" eb="17">
      <t>カイシャク</t>
    </rPh>
    <rPh sb="17" eb="19">
      <t>シダイ</t>
    </rPh>
    <rPh sb="20" eb="22">
      <t>ケイサン</t>
    </rPh>
    <rPh sb="23" eb="24">
      <t>フク</t>
    </rPh>
    <rPh sb="27" eb="28">
      <t>フク</t>
    </rPh>
    <rPh sb="32" eb="34">
      <t>カイシャク</t>
    </rPh>
    <rPh sb="35" eb="36">
      <t>ワ</t>
    </rPh>
    <rPh sb="41" eb="42">
      <t>オオ</t>
    </rPh>
    <rPh sb="44" eb="46">
      <t>ケイサン</t>
    </rPh>
    <rPh sb="46" eb="48">
      <t>ケッカ</t>
    </rPh>
    <rPh sb="49" eb="51">
      <t>セイカイ</t>
    </rPh>
    <rPh sb="62" eb="64">
      <t>テイド</t>
    </rPh>
    <rPh sb="65" eb="68">
      <t>ブブンテン</t>
    </rPh>
    <rPh sb="69" eb="71">
      <t>キタイ</t>
    </rPh>
    <rPh sb="73" eb="74">
      <t>ヨ</t>
    </rPh>
    <rPh sb="79" eb="81">
      <t>セイカイ</t>
    </rPh>
    <rPh sb="85" eb="86">
      <t>ホウ</t>
    </rPh>
    <rPh sb="87" eb="88">
      <t>テン</t>
    </rPh>
    <rPh sb="89" eb="90">
      <t>タカ</t>
    </rPh>
    <phoneticPr fontId="3"/>
  </si>
  <si>
    <t>実践編 H26年 事例Ⅳ</t>
    <rPh sb="0" eb="2">
      <t>ジッセン</t>
    </rPh>
    <rPh sb="2" eb="3">
      <t>ヘン</t>
    </rPh>
    <rPh sb="7" eb="8">
      <t>ネン</t>
    </rPh>
    <rPh sb="9" eb="11">
      <t>ジレイ</t>
    </rPh>
    <phoneticPr fontId="3"/>
  </si>
  <si>
    <t>・当問で、｢うは、これはボクの苦手なCF計算書の問題でちゅ！大変でちゅ！｣とあわあわしたらOUT。(設問2)でNPVを聞いているので、(設問1)で出すのは｢営業CF｣でなく正味CF。すると税引後CIF BOXを作れば良いと判断できる。</t>
    <rPh sb="1" eb="2">
      <t>トウ</t>
    </rPh>
    <rPh sb="2" eb="3">
      <t>モン</t>
    </rPh>
    <rPh sb="15" eb="17">
      <t>ニガテ</t>
    </rPh>
    <rPh sb="20" eb="23">
      <t>ケイサンショ</t>
    </rPh>
    <rPh sb="24" eb="26">
      <t>モンダイ</t>
    </rPh>
    <rPh sb="30" eb="32">
      <t>タイヘン</t>
    </rPh>
    <rPh sb="50" eb="52">
      <t>セツモン</t>
    </rPh>
    <rPh sb="59" eb="60">
      <t>キ</t>
    </rPh>
    <rPh sb="68" eb="70">
      <t>セツモン</t>
    </rPh>
    <rPh sb="73" eb="74">
      <t>ダ</t>
    </rPh>
    <rPh sb="78" eb="80">
      <t>エイギョウ</t>
    </rPh>
    <rPh sb="86" eb="88">
      <t>ショウミ</t>
    </rPh>
    <rPh sb="94" eb="96">
      <t>ゼイビキ</t>
    </rPh>
    <rPh sb="96" eb="97">
      <t>ゴ</t>
    </rPh>
    <rPh sb="105" eb="106">
      <t>ツク</t>
    </rPh>
    <rPh sb="108" eb="109">
      <t>ヨ</t>
    </rPh>
    <rPh sb="111" eb="113">
      <t>ハンダン</t>
    </rPh>
    <phoneticPr fontId="3"/>
  </si>
  <si>
    <t>(設問1) 正味CF 予想税引後CF＝正味(ネット)キャッシュ・フローを求める。この時、税引後CIF BOXを描けば良い、とピンとくることがポイント。</t>
    <rPh sb="1" eb="3">
      <t>セツモン</t>
    </rPh>
    <rPh sb="6" eb="8">
      <t>ショウミ</t>
    </rPh>
    <rPh sb="11" eb="13">
      <t>ヨソウ</t>
    </rPh>
    <rPh sb="13" eb="15">
      <t>ゼイビ</t>
    </rPh>
    <rPh sb="15" eb="16">
      <t>ゴ</t>
    </rPh>
    <rPh sb="19" eb="21">
      <t>ショウミ</t>
    </rPh>
    <rPh sb="36" eb="37">
      <t>モト</t>
    </rPh>
    <rPh sb="42" eb="43">
      <t>トキ</t>
    </rPh>
    <rPh sb="44" eb="46">
      <t>ゼイビキ</t>
    </rPh>
    <rPh sb="46" eb="47">
      <t>ゴ</t>
    </rPh>
    <rPh sb="55" eb="56">
      <t>カ</t>
    </rPh>
    <rPh sb="58" eb="59">
      <t>ヨ</t>
    </rPh>
    <phoneticPr fontId="3"/>
  </si>
  <si>
    <t>税引後CIF BOXを描く</t>
    <rPh sb="0" eb="2">
      <t>ゼイビキ</t>
    </rPh>
    <rPh sb="2" eb="3">
      <t>ゴ</t>
    </rPh>
    <rPh sb="11" eb="12">
      <t>カ</t>
    </rPh>
    <phoneticPr fontId="3"/>
  </si>
  <si>
    <t>①H26年度予想PLから</t>
    <rPh sb="4" eb="6">
      <t>ネンド</t>
    </rPh>
    <rPh sb="6" eb="8">
      <t>ヨソウ</t>
    </rPh>
    <phoneticPr fontId="3"/>
  </si>
  <si>
    <t>(現金収入)</t>
    <rPh sb="1" eb="3">
      <t>ゲンキン</t>
    </rPh>
    <rPh sb="3" eb="5">
      <t>シュウニュウ</t>
    </rPh>
    <phoneticPr fontId="3"/>
  </si>
  <si>
    <t>現金費用</t>
    <rPh sb="0" eb="2">
      <t>ゲンキン</t>
    </rPh>
    <rPh sb="2" eb="4">
      <t>ヒヨウ</t>
    </rPh>
    <phoneticPr fontId="3"/>
  </si>
  <si>
    <t>営業利益</t>
    <rPh sb="0" eb="2">
      <t>エイギョウ</t>
    </rPh>
    <rPh sb="2" eb="4">
      <t>リエキ</t>
    </rPh>
    <phoneticPr fontId="3"/>
  </si>
  <si>
    <t>うち法人税</t>
    <rPh sb="2" eb="5">
      <t>ホウジンゼイ</t>
    </rPh>
    <phoneticPr fontId="3"/>
  </si>
  <si>
    <t>税引後営業利益</t>
    <rPh sb="0" eb="2">
      <t>ゼイビキ</t>
    </rPh>
    <rPh sb="2" eb="3">
      <t>ゴ</t>
    </rPh>
    <rPh sb="3" eb="5">
      <t>エイギョウ</t>
    </rPh>
    <rPh sb="5" eb="7">
      <t>リエキ</t>
    </rPh>
    <phoneticPr fontId="3"/>
  </si>
  <si>
    <t>(a)H26年度期末に改装した場合</t>
    <rPh sb="6" eb="8">
      <t>ネンド</t>
    </rPh>
    <rPh sb="8" eb="10">
      <t>キマツ</t>
    </rPh>
    <rPh sb="11" eb="13">
      <t>カイソウ</t>
    </rPh>
    <rPh sb="15" eb="17">
      <t>バアイ</t>
    </rPh>
    <phoneticPr fontId="3"/>
  </si>
  <si>
    <t>予想税引後CF(PL項目全てをいちいち考えず、まずここだけ計算すれば良い)</t>
    <rPh sb="0" eb="2">
      <t>ヨソウ</t>
    </rPh>
    <rPh sb="2" eb="4">
      <t>ゼイビキ</t>
    </rPh>
    <rPh sb="4" eb="5">
      <t>ゴ</t>
    </rPh>
    <rPh sb="10" eb="12">
      <t>コウモク</t>
    </rPh>
    <rPh sb="12" eb="13">
      <t>スベ</t>
    </rPh>
    <rPh sb="19" eb="20">
      <t>カンガ</t>
    </rPh>
    <rPh sb="29" eb="31">
      <t>ケイサン</t>
    </rPh>
    <rPh sb="34" eb="35">
      <t>ヨ</t>
    </rPh>
    <phoneticPr fontId="3"/>
  </si>
  <si>
    <t>人件費</t>
    <rPh sb="0" eb="3">
      <t>ジンケンヒ</t>
    </rPh>
    <phoneticPr fontId="3"/>
  </si>
  <si>
    <t>店舗賃借料</t>
    <rPh sb="0" eb="2">
      <t>テンポ</t>
    </rPh>
    <rPh sb="2" eb="5">
      <t>チンシャクリョウ</t>
    </rPh>
    <phoneticPr fontId="3"/>
  </si>
  <si>
    <t>その他経費</t>
    <rPh sb="2" eb="3">
      <t>タ</t>
    </rPh>
    <rPh sb="3" eb="5">
      <t>ケイヒ</t>
    </rPh>
    <phoneticPr fontId="3"/>
  </si>
  <si>
    <t>売上高成長率</t>
    <rPh sb="0" eb="2">
      <t>ウリアゲ</t>
    </rPh>
    <rPh sb="2" eb="3">
      <t>ダカ</t>
    </rPh>
    <rPh sb="3" eb="6">
      <t>セイチョウリツ</t>
    </rPh>
    <phoneticPr fontId="3"/>
  </si>
  <si>
    <t>(b)H27年度期末に改装した場合</t>
    <rPh sb="6" eb="8">
      <t>ネンド</t>
    </rPh>
    <rPh sb="8" eb="10">
      <t>キマツ</t>
    </rPh>
    <rPh sb="11" eb="13">
      <t>カイソウ</t>
    </rPh>
    <rPh sb="15" eb="17">
      <t>バアイ</t>
    </rPh>
    <phoneticPr fontId="3"/>
  </si>
  <si>
    <t>予想税引後CF</t>
    <rPh sb="0" eb="2">
      <t>ヨソウ</t>
    </rPh>
    <rPh sb="2" eb="4">
      <t>ゼイビキ</t>
    </rPh>
    <rPh sb="4" eb="5">
      <t>ゴ</t>
    </rPh>
    <phoneticPr fontId="3"/>
  </si>
  <si>
    <t>減価償却費の計算</t>
    <rPh sb="0" eb="2">
      <t>ゲンカ</t>
    </rPh>
    <rPh sb="2" eb="4">
      <t>ショウキャク</t>
    </rPh>
    <rPh sb="4" eb="5">
      <t>ヒ</t>
    </rPh>
    <rPh sb="6" eb="8">
      <t>ケイサン</t>
    </rPh>
    <phoneticPr fontId="3"/>
  </si>
  <si>
    <t>旧設備</t>
    <rPh sb="0" eb="3">
      <t>キュウセツビ</t>
    </rPh>
    <phoneticPr fontId="3"/>
  </si>
  <si>
    <t>新設備</t>
    <rPh sb="0" eb="3">
      <t>シンセツビ</t>
    </rPh>
    <phoneticPr fontId="3"/>
  </si>
  <si>
    <t>除却損TS</t>
    <rPh sb="0" eb="2">
      <t>ジョキャク</t>
    </rPh>
    <rPh sb="2" eb="3">
      <t>ソン</t>
    </rPh>
    <phoneticPr fontId="3"/>
  </si>
  <si>
    <t>税引後CIF再計</t>
    <rPh sb="0" eb="2">
      <t>ゼイビキ</t>
    </rPh>
    <rPh sb="2" eb="3">
      <t>ゴ</t>
    </rPh>
    <rPh sb="6" eb="7">
      <t>サイ</t>
    </rPh>
    <rPh sb="7" eb="8">
      <t>ケイ</t>
    </rPh>
    <phoneticPr fontId="3"/>
  </si>
  <si>
    <t>H27年度。H28年度以降は(a)と同じ。</t>
    <rPh sb="3" eb="5">
      <t>ネンド</t>
    </rPh>
    <rPh sb="9" eb="11">
      <t>ネンド</t>
    </rPh>
    <rPh sb="11" eb="13">
      <t>イコウ</t>
    </rPh>
    <rPh sb="18" eb="19">
      <t>オナ</t>
    </rPh>
    <phoneticPr fontId="3"/>
  </si>
  <si>
    <t>2案のNPVの比較</t>
    <rPh sb="1" eb="2">
      <t>アン</t>
    </rPh>
    <rPh sb="7" eb="9">
      <t>ヒカク</t>
    </rPh>
    <phoneticPr fontId="3"/>
  </si>
  <si>
    <t>H26年度期末に改装</t>
    <rPh sb="3" eb="5">
      <t>ネンド</t>
    </rPh>
    <rPh sb="5" eb="7">
      <t>キマツ</t>
    </rPh>
    <rPh sb="8" eb="10">
      <t>カイソウ</t>
    </rPh>
    <phoneticPr fontId="3"/>
  </si>
  <si>
    <t>H26</t>
    <phoneticPr fontId="3"/>
  </si>
  <si>
    <t>H27</t>
    <phoneticPr fontId="3"/>
  </si>
  <si>
    <t>H28</t>
  </si>
  <si>
    <t>H29</t>
  </si>
  <si>
    <t>H30</t>
  </si>
  <si>
    <t>H31</t>
  </si>
  <si>
    <t>旧設備除却TS</t>
    <rPh sb="0" eb="3">
      <t>キュウセツビ</t>
    </rPh>
    <rPh sb="3" eb="5">
      <t>ジョキャク</t>
    </rPh>
    <phoneticPr fontId="3"/>
  </si>
  <si>
    <t>税引後CIF</t>
    <rPh sb="0" eb="2">
      <t>ゼイビキ</t>
    </rPh>
    <rPh sb="2" eb="3">
      <t>ゴ</t>
    </rPh>
    <phoneticPr fontId="3"/>
  </si>
  <si>
    <t>新設備の取得</t>
    <rPh sb="0" eb="3">
      <t>シンセツビ</t>
    </rPh>
    <rPh sb="4" eb="6">
      <t>シュトク</t>
    </rPh>
    <phoneticPr fontId="3"/>
  </si>
  <si>
    <t>割引後CF</t>
    <rPh sb="0" eb="2">
      <t>ワリビキ</t>
    </rPh>
    <rPh sb="2" eb="3">
      <t>ゴ</t>
    </rPh>
    <phoneticPr fontId="3"/>
  </si>
  <si>
    <t>NPV</t>
    <phoneticPr fontId="3"/>
  </si>
  <si>
    <t>H27年度期末に改装</t>
    <rPh sb="3" eb="5">
      <t>ネンド</t>
    </rPh>
    <rPh sb="5" eb="7">
      <t>キマツ</t>
    </rPh>
    <rPh sb="8" eb="10">
      <t>カイソウ</t>
    </rPh>
    <phoneticPr fontId="3"/>
  </si>
  <si>
    <t>H26年度期末に改装する方が</t>
    <rPh sb="3" eb="5">
      <t>ネンド</t>
    </rPh>
    <rPh sb="5" eb="7">
      <t>キマツ</t>
    </rPh>
    <rPh sb="8" eb="10">
      <t>カイソウ</t>
    </rPh>
    <rPh sb="12" eb="13">
      <t>ホウ</t>
    </rPh>
    <phoneticPr fontId="3"/>
  </si>
  <si>
    <t>万円、NPVが多いので有利。</t>
    <rPh sb="0" eb="2">
      <t>マンエン</t>
    </rPh>
    <rPh sb="7" eb="8">
      <t>オオ</t>
    </rPh>
    <rPh sb="11" eb="13">
      <t>ユウリ</t>
    </rPh>
    <phoneticPr fontId="3"/>
  </si>
  <si>
    <t>①総額で計算</t>
    <rPh sb="1" eb="3">
      <t>ソウガク</t>
    </rPh>
    <rPh sb="4" eb="6">
      <t>ケイサン</t>
    </rPh>
    <phoneticPr fontId="3"/>
  </si>
  <si>
    <t>②差額で計算</t>
    <rPh sb="1" eb="3">
      <t>サガク</t>
    </rPh>
    <rPh sb="4" eb="6">
      <t>ケイサン</t>
    </rPh>
    <phoneticPr fontId="3"/>
  </si>
  <si>
    <t>実際差額だけで答えるには勇気がいるが、検算に使うだけでも、時間短縮のメリットがある。</t>
    <rPh sb="0" eb="2">
      <t>ジッサイ</t>
    </rPh>
    <rPh sb="2" eb="4">
      <t>サガク</t>
    </rPh>
    <rPh sb="7" eb="8">
      <t>コタ</t>
    </rPh>
    <rPh sb="12" eb="14">
      <t>ユウキ</t>
    </rPh>
    <rPh sb="19" eb="21">
      <t>ケンザン</t>
    </rPh>
    <rPh sb="22" eb="23">
      <t>ツカ</t>
    </rPh>
    <rPh sb="29" eb="31">
      <t>ジカン</t>
    </rPh>
    <rPh sb="31" eb="33">
      <t>タンシュク</t>
    </rPh>
    <phoneticPr fontId="3"/>
  </si>
  <si>
    <t>この(設問２)では、２案それぞれのNPVを答えさせず、差額で有利不利を決めさせるので、同額原価(H28以降の税引後CIF)の計算を省略しても、結果は同じ。</t>
    <rPh sb="3" eb="5">
      <t>セツモン</t>
    </rPh>
    <rPh sb="11" eb="12">
      <t>アン</t>
    </rPh>
    <rPh sb="21" eb="22">
      <t>コタ</t>
    </rPh>
    <rPh sb="27" eb="29">
      <t>サガク</t>
    </rPh>
    <rPh sb="30" eb="32">
      <t>ユウリ</t>
    </rPh>
    <rPh sb="32" eb="34">
      <t>フリ</t>
    </rPh>
    <rPh sb="35" eb="36">
      <t>キ</t>
    </rPh>
    <rPh sb="43" eb="45">
      <t>ドウガク</t>
    </rPh>
    <rPh sb="45" eb="47">
      <t>ゲンカ</t>
    </rPh>
    <rPh sb="51" eb="53">
      <t>イコウ</t>
    </rPh>
    <rPh sb="54" eb="55">
      <t>ゼイ</t>
    </rPh>
    <rPh sb="55" eb="56">
      <t>ビ</t>
    </rPh>
    <rPh sb="56" eb="57">
      <t>ゴ</t>
    </rPh>
    <rPh sb="62" eb="64">
      <t>ケイサン</t>
    </rPh>
    <rPh sb="65" eb="67">
      <t>ショウリャク</t>
    </rPh>
    <rPh sb="71" eb="73">
      <t>ケッカ</t>
    </rPh>
    <rPh sb="74" eb="75">
      <t>オナ</t>
    </rPh>
    <phoneticPr fontId="3"/>
  </si>
  <si>
    <t>第3問 最適セールスミックス</t>
    <rPh sb="0" eb="1">
      <t>ダイ</t>
    </rPh>
    <rPh sb="2" eb="3">
      <t>モン</t>
    </rPh>
    <rPh sb="4" eb="6">
      <t>サイテキ</t>
    </rPh>
    <phoneticPr fontId="3"/>
  </si>
  <si>
    <t>・制約条件が1つのセールスミックスなので、制約条件(つまり直接作業時間)あたりの限界利益額を求め、多い順に目いっぱい作る。</t>
    <rPh sb="1" eb="3">
      <t>セイヤク</t>
    </rPh>
    <rPh sb="3" eb="5">
      <t>ジョウケン</t>
    </rPh>
    <rPh sb="21" eb="23">
      <t>セイヤク</t>
    </rPh>
    <rPh sb="23" eb="25">
      <t>ジョウケン</t>
    </rPh>
    <rPh sb="29" eb="31">
      <t>チョクセツ</t>
    </rPh>
    <rPh sb="31" eb="33">
      <t>サギョウ</t>
    </rPh>
    <rPh sb="33" eb="35">
      <t>ジカン</t>
    </rPh>
    <rPh sb="40" eb="42">
      <t>ゲンカイ</t>
    </rPh>
    <rPh sb="42" eb="44">
      <t>リエキ</t>
    </rPh>
    <rPh sb="44" eb="45">
      <t>ガク</t>
    </rPh>
    <rPh sb="46" eb="47">
      <t>モト</t>
    </rPh>
    <rPh sb="49" eb="50">
      <t>オオ</t>
    </rPh>
    <rPh sb="51" eb="52">
      <t>ジュン</t>
    </rPh>
    <rPh sb="53" eb="54">
      <t>メ</t>
    </rPh>
    <rPh sb="58" eb="59">
      <t>ツク</t>
    </rPh>
    <phoneticPr fontId="3"/>
  </si>
  <si>
    <t>資料の整理</t>
    <rPh sb="0" eb="2">
      <t>シリョウ</t>
    </rPh>
    <rPh sb="3" eb="5">
      <t>セイリ</t>
    </rPh>
    <phoneticPr fontId="3"/>
  </si>
  <si>
    <t>販売単価</t>
    <rPh sb="0" eb="2">
      <t>ハンバイ</t>
    </rPh>
    <rPh sb="2" eb="4">
      <t>タンカ</t>
    </rPh>
    <phoneticPr fontId="3"/>
  </si>
  <si>
    <t>限界利益率</t>
    <rPh sb="0" eb="2">
      <t>ゲンカイ</t>
    </rPh>
    <rPh sb="2" eb="4">
      <t>リエキ</t>
    </rPh>
    <rPh sb="4" eb="5">
      <t>リツ</t>
    </rPh>
    <phoneticPr fontId="3"/>
  </si>
  <si>
    <t>直接作業時間</t>
    <rPh sb="0" eb="2">
      <t>チョクセツ</t>
    </rPh>
    <rPh sb="2" eb="4">
      <t>サギョウ</t>
    </rPh>
    <rPh sb="4" eb="6">
      <t>ジカン</t>
    </rPh>
    <phoneticPr fontId="3"/>
  </si>
  <si>
    <t>時間あたり限界利益</t>
    <rPh sb="0" eb="2">
      <t>ジカン</t>
    </rPh>
    <rPh sb="5" eb="7">
      <t>ゲンカイ</t>
    </rPh>
    <rPh sb="7" eb="9">
      <t>リエキ</t>
    </rPh>
    <phoneticPr fontId="3"/>
  </si>
  <si>
    <t>X</t>
    <phoneticPr fontId="3"/>
  </si>
  <si>
    <t>Y</t>
    <phoneticPr fontId="3"/>
  </si>
  <si>
    <t>Z</t>
    <phoneticPr fontId="3"/>
  </si>
  <si>
    <t>作る優先順位</t>
    <rPh sb="0" eb="1">
      <t>ツク</t>
    </rPh>
    <rPh sb="2" eb="4">
      <t>ユウセン</t>
    </rPh>
    <rPh sb="4" eb="6">
      <t>ジュンイ</t>
    </rPh>
    <phoneticPr fontId="3"/>
  </si>
  <si>
    <t>需要予測</t>
    <rPh sb="0" eb="2">
      <t>ジュヨウ</t>
    </rPh>
    <rPh sb="2" eb="4">
      <t>ヨソク</t>
    </rPh>
    <phoneticPr fontId="3"/>
  </si>
  <si>
    <t>①</t>
    <phoneticPr fontId="3"/>
  </si>
  <si>
    <t>②</t>
    <phoneticPr fontId="3"/>
  </si>
  <si>
    <t>③</t>
    <phoneticPr fontId="3"/>
  </si>
  <si>
    <t>営業利益を最大化する生産量</t>
    <rPh sb="0" eb="2">
      <t>エイギョウ</t>
    </rPh>
    <rPh sb="2" eb="4">
      <t>リエキ</t>
    </rPh>
    <rPh sb="5" eb="8">
      <t>サイダイカ</t>
    </rPh>
    <rPh sb="10" eb="12">
      <t>セイサン</t>
    </rPh>
    <rPh sb="12" eb="13">
      <t>リョウ</t>
    </rPh>
    <phoneticPr fontId="3"/>
  </si>
  <si>
    <t>所要直接作業時間</t>
    <rPh sb="0" eb="2">
      <t>ショヨウ</t>
    </rPh>
    <rPh sb="2" eb="4">
      <t>チョクセツ</t>
    </rPh>
    <rPh sb="4" eb="6">
      <t>サギョウ</t>
    </rPh>
    <rPh sb="6" eb="8">
      <t>ジカン</t>
    </rPh>
    <phoneticPr fontId="3"/>
  </si>
  <si>
    <t>合計</t>
    <rPh sb="0" eb="2">
      <t>ゴウケイ</t>
    </rPh>
    <phoneticPr fontId="3"/>
  </si>
  <si>
    <t>個別固定費</t>
    <rPh sb="0" eb="2">
      <t>コベツ</t>
    </rPh>
    <rPh sb="2" eb="5">
      <t>コテイヒ</t>
    </rPh>
    <phoneticPr fontId="3"/>
  </si>
  <si>
    <t>限界利益単価</t>
    <rPh sb="0" eb="2">
      <t>ゲンカイ</t>
    </rPh>
    <rPh sb="2" eb="4">
      <t>リエキ</t>
    </rPh>
    <rPh sb="4" eb="6">
      <t>タンカ</t>
    </rPh>
    <phoneticPr fontId="3"/>
  </si>
  <si>
    <t>変動費単価</t>
    <rPh sb="0" eb="2">
      <t>ヘンドウ</t>
    </rPh>
    <rPh sb="2" eb="3">
      <t>ヒ</t>
    </rPh>
    <rPh sb="3" eb="5">
      <t>タンカ</t>
    </rPh>
    <phoneticPr fontId="3"/>
  </si>
  <si>
    <t>限界利益</t>
    <rPh sb="0" eb="2">
      <t>ゲンカイ</t>
    </rPh>
    <rPh sb="2" eb="4">
      <t>リエキ</t>
    </rPh>
    <phoneticPr fontId="3"/>
  </si>
  <si>
    <t>貢献利益</t>
    <rPh sb="0" eb="2">
      <t>コウケン</t>
    </rPh>
    <rPh sb="2" eb="4">
      <t>リエキ</t>
    </rPh>
    <phoneticPr fontId="3"/>
  </si>
  <si>
    <t>←通常はここが答え。ただ当問では、貢献利益マイナス＝個別固定費を回避可能と考え、Zの生産量＝0と考えて進める。※Z＝4,000で部分点はある。</t>
    <rPh sb="1" eb="3">
      <t>ツウジョウ</t>
    </rPh>
    <rPh sb="7" eb="8">
      <t>コタ</t>
    </rPh>
    <rPh sb="12" eb="13">
      <t>トウ</t>
    </rPh>
    <rPh sb="13" eb="14">
      <t>モン</t>
    </rPh>
    <rPh sb="17" eb="19">
      <t>コウケン</t>
    </rPh>
    <rPh sb="19" eb="21">
      <t>リエキ</t>
    </rPh>
    <rPh sb="26" eb="28">
      <t>コベツ</t>
    </rPh>
    <rPh sb="28" eb="31">
      <t>コテイヒ</t>
    </rPh>
    <rPh sb="32" eb="34">
      <t>カイヒ</t>
    </rPh>
    <rPh sb="34" eb="36">
      <t>カノウ</t>
    </rPh>
    <rPh sb="37" eb="38">
      <t>カンガ</t>
    </rPh>
    <rPh sb="42" eb="44">
      <t>セイサン</t>
    </rPh>
    <rPh sb="44" eb="45">
      <t>リョウ</t>
    </rPh>
    <rPh sb="48" eb="49">
      <t>カンガ</t>
    </rPh>
    <rPh sb="51" eb="52">
      <t>スス</t>
    </rPh>
    <rPh sb="64" eb="66">
      <t>ブブン</t>
    </rPh>
    <rPh sb="66" eb="67">
      <t>テン</t>
    </rPh>
    <phoneticPr fontId="3"/>
  </si>
  <si>
    <t>②</t>
    <phoneticPr fontId="3"/>
  </si>
  <si>
    <t>(設問1)</t>
    <rPh sb="1" eb="3">
      <t>セツモン</t>
    </rPh>
    <phoneticPr fontId="3"/>
  </si>
  <si>
    <t>×</t>
    <phoneticPr fontId="3"/>
  </si>
  <si>
    <t>(設問2)</t>
    <rPh sb="1" eb="3">
      <t>セツモン</t>
    </rPh>
    <phoneticPr fontId="3"/>
  </si>
  <si>
    <t>(設問3)</t>
    <rPh sb="1" eb="3">
      <t>セツモン</t>
    </rPh>
    <phoneticPr fontId="3"/>
  </si>
  <si>
    <t>固定費増加額</t>
    <rPh sb="0" eb="3">
      <t>コテイヒ</t>
    </rPh>
    <rPh sb="3" eb="5">
      <t>ゾウカ</t>
    </rPh>
    <rPh sb="5" eb="6">
      <t>ガク</t>
    </rPh>
    <phoneticPr fontId="3"/>
  </si>
  <si>
    <t>新需要予測</t>
    <rPh sb="0" eb="1">
      <t>シン</t>
    </rPh>
    <rPh sb="1" eb="3">
      <t>ジュヨウ</t>
    </rPh>
    <rPh sb="3" eb="5">
      <t>ヨソク</t>
    </rPh>
    <phoneticPr fontId="3"/>
  </si>
  <si>
    <t>←今後は、製品Yが貢献利益赤字になるので生産しない。。</t>
    <rPh sb="1" eb="3">
      <t>コンゴ</t>
    </rPh>
    <rPh sb="5" eb="7">
      <t>セイヒン</t>
    </rPh>
    <rPh sb="9" eb="11">
      <t>コウケン</t>
    </rPh>
    <rPh sb="11" eb="13">
      <t>リエキ</t>
    </rPh>
    <rPh sb="13" eb="15">
      <t>アカジ</t>
    </rPh>
    <rPh sb="20" eb="22">
      <t>セイサン</t>
    </rPh>
    <phoneticPr fontId="3"/>
  </si>
  <si>
    <t>営業利益</t>
    <rPh sb="0" eb="2">
      <t>エイギョウ</t>
    </rPh>
    <rPh sb="2" eb="4">
      <t>リエキ</t>
    </rPh>
    <phoneticPr fontId="3"/>
  </si>
  <si>
    <t>共通固定費</t>
    <rPh sb="0" eb="2">
      <t>キョウツウ</t>
    </rPh>
    <rPh sb="2" eb="5">
      <t>コテイヒ</t>
    </rPh>
    <phoneticPr fontId="3"/>
  </si>
  <si>
    <t>(設問2)⇔(3)の営業利益を比較すると、(3)の営業利益の方が低いため、</t>
    <rPh sb="1" eb="3">
      <t>セツモン</t>
    </rPh>
    <rPh sb="10" eb="12">
      <t>エイギョウ</t>
    </rPh>
    <rPh sb="12" eb="14">
      <t>リエキ</t>
    </rPh>
    <rPh sb="15" eb="17">
      <t>ヒカク</t>
    </rPh>
    <rPh sb="25" eb="27">
      <t>エイギョウ</t>
    </rPh>
    <rPh sb="27" eb="29">
      <t>リエキ</t>
    </rPh>
    <rPh sb="30" eb="31">
      <t>ホウ</t>
    </rPh>
    <rPh sb="32" eb="33">
      <t>ヒク</t>
    </rPh>
    <phoneticPr fontId="3"/>
  </si>
  <si>
    <t>(3)の提案は採用しない。</t>
    <rPh sb="4" eb="6">
      <t>テイアン</t>
    </rPh>
    <rPh sb="7" eb="9">
      <t>サイヨウ</t>
    </rPh>
    <phoneticPr fontId="3"/>
  </si>
  <si>
    <t>実践編 H25年 事例Ⅳ</t>
    <rPh sb="0" eb="2">
      <t>ジッセン</t>
    </rPh>
    <rPh sb="2" eb="3">
      <t>ヘン</t>
    </rPh>
    <rPh sb="7" eb="8">
      <t>ネン</t>
    </rPh>
    <rPh sb="9" eb="11">
      <t>ジレイ</t>
    </rPh>
    <phoneticPr fontId="3"/>
  </si>
  <si>
    <t xml:space="preserve">(設問1) </t>
    <rPh sb="1" eb="3">
      <t>セツモン</t>
    </rPh>
    <phoneticPr fontId="3"/>
  </si>
  <si>
    <t>200%定率法</t>
    <rPh sb="4" eb="7">
      <t>テイリツホウ</t>
    </rPh>
    <phoneticPr fontId="3"/>
  </si>
  <si>
    <t>第1期</t>
    <rPh sb="0" eb="1">
      <t>ダイ</t>
    </rPh>
    <rPh sb="2" eb="3">
      <t>キ</t>
    </rPh>
    <phoneticPr fontId="3"/>
  </si>
  <si>
    <t>第4期</t>
    <rPh sb="0" eb="1">
      <t>ダイ</t>
    </rPh>
    <rPh sb="2" eb="3">
      <t>キ</t>
    </rPh>
    <phoneticPr fontId="3"/>
  </si>
  <si>
    <t>第5期</t>
    <rPh sb="0" eb="1">
      <t>ダイ</t>
    </rPh>
    <rPh sb="2" eb="3">
      <t>キ</t>
    </rPh>
    <phoneticPr fontId="3"/>
  </si>
  <si>
    <t>①定額法</t>
    <rPh sb="1" eb="3">
      <t>テイガク</t>
    </rPh>
    <rPh sb="3" eb="4">
      <t>ホウ</t>
    </rPh>
    <phoneticPr fontId="3"/>
  </si>
  <si>
    <t>②200%定率法</t>
    <rPh sb="5" eb="8">
      <t>テイリツホウ</t>
    </rPh>
    <phoneticPr fontId="3"/>
  </si>
  <si>
    <t>定額法償却率</t>
    <rPh sb="0" eb="2">
      <t>テイガク</t>
    </rPh>
    <rPh sb="2" eb="3">
      <t>ホウ</t>
    </rPh>
    <rPh sb="3" eb="6">
      <t>ショウキャクリツ</t>
    </rPh>
    <phoneticPr fontId="3"/>
  </si>
  <si>
    <t>未償却額</t>
    <rPh sb="0" eb="4">
      <t>ミショウキャクガク</t>
    </rPh>
    <phoneticPr fontId="3"/>
  </si>
  <si>
    <t>法人税法が定める、減価償却方法の一つ。</t>
    <rPh sb="0" eb="3">
      <t>ホウジンゼイ</t>
    </rPh>
    <rPh sb="3" eb="4">
      <t>ホウ</t>
    </rPh>
    <rPh sb="5" eb="6">
      <t>サダ</t>
    </rPh>
    <rPh sb="9" eb="11">
      <t>ゲンカ</t>
    </rPh>
    <rPh sb="11" eb="13">
      <t>ショウキャク</t>
    </rPh>
    <rPh sb="13" eb="15">
      <t>ホウホウ</t>
    </rPh>
    <rPh sb="16" eb="17">
      <t>ヒト</t>
    </rPh>
    <phoneticPr fontId="3"/>
  </si>
  <si>
    <t>償却率に、定額法償却率×2を用いる。</t>
    <rPh sb="0" eb="3">
      <t>ショウキャクリツ</t>
    </rPh>
    <rPh sb="5" eb="7">
      <t>テイガク</t>
    </rPh>
    <rPh sb="7" eb="8">
      <t>ホウ</t>
    </rPh>
    <rPh sb="8" eb="11">
      <t>ショウキャクリツ</t>
    </rPh>
    <rPh sb="14" eb="15">
      <t>モチ</t>
    </rPh>
    <phoneticPr fontId="3"/>
  </si>
  <si>
    <t>支払利息</t>
    <rPh sb="0" eb="2">
      <t>シハラ</t>
    </rPh>
    <rPh sb="2" eb="4">
      <t>リソク</t>
    </rPh>
    <phoneticPr fontId="3"/>
  </si>
  <si>
    <t>計算用</t>
    <rPh sb="0" eb="3">
      <t>ケイサンヨウ</t>
    </rPh>
    <phoneticPr fontId="3"/>
  </si>
  <si>
    <t>金融機関借入</t>
    <rPh sb="0" eb="2">
      <t>キンユウ</t>
    </rPh>
    <rPh sb="2" eb="4">
      <t>キカン</t>
    </rPh>
    <rPh sb="4" eb="6">
      <t>カリイレ</t>
    </rPh>
    <phoneticPr fontId="3"/>
  </si>
  <si>
    <t>累計額</t>
    <rPh sb="0" eb="2">
      <t>ルイケイ</t>
    </rPh>
    <rPh sb="2" eb="3">
      <t>ガク</t>
    </rPh>
    <phoneticPr fontId="3"/>
  </si>
  <si>
    <t>(設問3) 第5期末現金有高</t>
    <rPh sb="1" eb="3">
      <t>セツモン</t>
    </rPh>
    <rPh sb="6" eb="7">
      <t>ダイ</t>
    </rPh>
    <rPh sb="8" eb="10">
      <t>キマツ</t>
    </rPh>
    <rPh sb="10" eb="12">
      <t>ゲンキン</t>
    </rPh>
    <rPh sb="12" eb="13">
      <t>アリ</t>
    </rPh>
    <rPh sb="13" eb="14">
      <t>ダカ</t>
    </rPh>
    <phoneticPr fontId="3"/>
  </si>
  <si>
    <t>①銀行借入の場合</t>
    <rPh sb="1" eb="3">
      <t>ギンコウ</t>
    </rPh>
    <rPh sb="3" eb="5">
      <t>カリイ</t>
    </rPh>
    <rPh sb="6" eb="8">
      <t>バアイ</t>
    </rPh>
    <phoneticPr fontId="3"/>
  </si>
  <si>
    <t>銀行借入</t>
    <rPh sb="0" eb="2">
      <t>ギンコウ</t>
    </rPh>
    <rPh sb="2" eb="4">
      <t>カリイレ</t>
    </rPh>
    <phoneticPr fontId="3"/>
  </si>
  <si>
    <t>営業CF</t>
    <rPh sb="0" eb="2">
      <t>エイギョウ</t>
    </rPh>
    <phoneticPr fontId="3"/>
  </si>
  <si>
    <t>事例Ⅳ出題論点</t>
    <rPh sb="0" eb="2">
      <t>ジレイ</t>
    </rPh>
    <rPh sb="3" eb="5">
      <t>シュツダイ</t>
    </rPh>
    <rPh sb="5" eb="7">
      <t>ロンテン</t>
    </rPh>
    <phoneticPr fontId="3"/>
  </si>
  <si>
    <t>○</t>
    <phoneticPr fontId="3"/>
  </si>
  <si>
    <t>期末売却</t>
    <rPh sb="0" eb="2">
      <t>キマツ</t>
    </rPh>
    <rPh sb="2" eb="4">
      <t>バイキャク</t>
    </rPh>
    <phoneticPr fontId="3"/>
  </si>
  <si>
    <t>減価償却費の変動</t>
    <rPh sb="0" eb="2">
      <t>ゲンカ</t>
    </rPh>
    <rPh sb="2" eb="4">
      <t>ショウキャク</t>
    </rPh>
    <rPh sb="4" eb="5">
      <t>ヒ</t>
    </rPh>
    <rPh sb="6" eb="8">
      <t>ヘンドウ</t>
    </rPh>
    <phoneticPr fontId="3"/>
  </si>
  <si>
    <t>NPVの算定</t>
    <rPh sb="4" eb="6">
      <t>サンテイ</t>
    </rPh>
    <phoneticPr fontId="3"/>
  </si>
  <si>
    <t>○</t>
    <phoneticPr fontId="3"/>
  </si>
  <si>
    <t>PVに割引
現価係数表</t>
    <rPh sb="3" eb="5">
      <t>ワリビキ</t>
    </rPh>
    <rPh sb="6" eb="8">
      <t>ゲンカ</t>
    </rPh>
    <rPh sb="8" eb="10">
      <t>ケイスウ</t>
    </rPh>
    <rPh sb="10" eb="11">
      <t>ヒョウ</t>
    </rPh>
    <phoneticPr fontId="3"/>
  </si>
  <si>
    <t>×</t>
    <phoneticPr fontId="3"/>
  </si>
  <si>
    <t>○</t>
    <phoneticPr fontId="3"/>
  </si>
  <si>
    <t>○</t>
    <phoneticPr fontId="3"/>
  </si>
  <si>
    <t>他論点</t>
    <rPh sb="0" eb="1">
      <t>タ</t>
    </rPh>
    <rPh sb="1" eb="3">
      <t>ロンテン</t>
    </rPh>
    <phoneticPr fontId="3"/>
  </si>
  <si>
    <t>●</t>
    <phoneticPr fontId="3"/>
  </si>
  <si>
    <t>記述</t>
    <rPh sb="0" eb="2">
      <t>キジュツ</t>
    </rPh>
    <phoneticPr fontId="3"/>
  </si>
  <si>
    <t>資金繰り</t>
    <rPh sb="0" eb="2">
      <t>シキン</t>
    </rPh>
    <rPh sb="2" eb="3">
      <t>グ</t>
    </rPh>
    <phoneticPr fontId="3"/>
  </si>
  <si>
    <t>支払利息</t>
    <rPh sb="0" eb="2">
      <t>シハライ</t>
    </rPh>
    <rPh sb="2" eb="4">
      <t>リソク</t>
    </rPh>
    <phoneticPr fontId="3"/>
  </si>
  <si>
    <t>●</t>
    <phoneticPr fontId="3"/>
  </si>
  <si>
    <t>H28</t>
    <phoneticPr fontId="3"/>
  </si>
  <si>
    <t>H25</t>
    <phoneticPr fontId="3"/>
  </si>
  <si>
    <t>H28</t>
    <phoneticPr fontId="3"/>
  </si>
  <si>
    <t>H27</t>
    <phoneticPr fontId="3"/>
  </si>
  <si>
    <t>第3問</t>
    <rPh sb="0" eb="1">
      <t>ダイ</t>
    </rPh>
    <rPh sb="2" eb="3">
      <t>モン</t>
    </rPh>
    <phoneticPr fontId="3"/>
  </si>
  <si>
    <t xml:space="preserve">H26 </t>
    <phoneticPr fontId="3"/>
  </si>
  <si>
    <t>H24</t>
    <phoneticPr fontId="3"/>
  </si>
  <si>
    <t>●逆算</t>
    <rPh sb="1" eb="3">
      <t>ギャクサン</t>
    </rPh>
    <phoneticPr fontId="3"/>
  </si>
  <si>
    <t>解答要求ワード</t>
    <rPh sb="0" eb="2">
      <t>カイトウ</t>
    </rPh>
    <rPh sb="2" eb="4">
      <t>ヨウキュウ</t>
    </rPh>
    <phoneticPr fontId="3"/>
  </si>
  <si>
    <t>営業キャッシュフロー</t>
    <rPh sb="0" eb="2">
      <t>エイギョウ</t>
    </rPh>
    <phoneticPr fontId="3"/>
  </si>
  <si>
    <t>税引後キャッシュフロー</t>
    <rPh sb="0" eb="2">
      <t>ゼイビキ</t>
    </rPh>
    <rPh sb="2" eb="3">
      <t>ゴ</t>
    </rPh>
    <phoneticPr fontId="3"/>
  </si>
  <si>
    <t>現在価値(PV)</t>
    <rPh sb="0" eb="2">
      <t>ゲンザイ</t>
    </rPh>
    <rPh sb="2" eb="4">
      <t>カチ</t>
    </rPh>
    <phoneticPr fontId="3"/>
  </si>
  <si>
    <t>●</t>
    <phoneticPr fontId="3"/>
  </si>
  <si>
    <t>【CF計算書】
間接法CF</t>
    <rPh sb="3" eb="6">
      <t>ケイサンショ</t>
    </rPh>
    <rPh sb="8" eb="10">
      <t>カンセツ</t>
    </rPh>
    <rPh sb="10" eb="11">
      <t>ホウ</t>
    </rPh>
    <phoneticPr fontId="3"/>
  </si>
  <si>
    <t>【NPV計算】
正味CFの算定</t>
    <rPh sb="4" eb="6">
      <t>ケイサン</t>
    </rPh>
    <rPh sb="8" eb="10">
      <t>ショウミ</t>
    </rPh>
    <rPh sb="13" eb="15">
      <t>サンテイ</t>
    </rPh>
    <phoneticPr fontId="3"/>
  </si>
  <si>
    <t>タックスシールド</t>
    <phoneticPr fontId="3"/>
  </si>
  <si>
    <t>タイムテーブル</t>
    <phoneticPr fontId="3"/>
  </si>
  <si>
    <t>【計算要素】</t>
    <rPh sb="1" eb="3">
      <t>ケイサン</t>
    </rPh>
    <rPh sb="3" eb="5">
      <t>ヨウソ</t>
    </rPh>
    <phoneticPr fontId="3"/>
  </si>
  <si>
    <t>B</t>
    <phoneticPr fontId="3"/>
  </si>
  <si>
    <t>●200%定率法</t>
    <rPh sb="5" eb="8">
      <t>テイリツホウ</t>
    </rPh>
    <phoneticPr fontId="3"/>
  </si>
  <si>
    <t>C</t>
    <phoneticPr fontId="3"/>
  </si>
  <si>
    <t>D</t>
    <phoneticPr fontId="3"/>
  </si>
  <si>
    <t>B</t>
    <phoneticPr fontId="3"/>
  </si>
  <si>
    <t>C</t>
    <phoneticPr fontId="3"/>
  </si>
  <si>
    <t>第1問</t>
    <rPh sb="0" eb="1">
      <t>ダイ</t>
    </rPh>
    <rPh sb="2" eb="3">
      <t>モン</t>
    </rPh>
    <phoneticPr fontId="3"/>
  </si>
  <si>
    <t>(設問3)</t>
    <rPh sb="1" eb="3">
      <t>セツモン</t>
    </rPh>
    <phoneticPr fontId="3"/>
  </si>
  <si>
    <t>解答難易度A～E</t>
    <rPh sb="0" eb="2">
      <t>カイトウ</t>
    </rPh>
    <rPh sb="2" eb="5">
      <t>ナンイド</t>
    </rPh>
    <phoneticPr fontId="3"/>
  </si>
  <si>
    <t>○</t>
    <phoneticPr fontId="3"/>
  </si>
  <si>
    <t>実践編 H24年 事例Ⅳ</t>
    <rPh sb="0" eb="2">
      <t>ジッセン</t>
    </rPh>
    <rPh sb="2" eb="3">
      <t>ヘン</t>
    </rPh>
    <rPh sb="7" eb="8">
      <t>ネン</t>
    </rPh>
    <rPh sb="9" eb="11">
      <t>ジレイ</t>
    </rPh>
    <phoneticPr fontId="3"/>
  </si>
  <si>
    <t>※H24は、第1問の予想PLが後続の問題につながるため、第1問からエクセルで解く。</t>
    <rPh sb="6" eb="7">
      <t>ダイ</t>
    </rPh>
    <rPh sb="8" eb="9">
      <t>モン</t>
    </rPh>
    <rPh sb="10" eb="12">
      <t>ヨソウ</t>
    </rPh>
    <rPh sb="15" eb="17">
      <t>コウゾク</t>
    </rPh>
    <rPh sb="18" eb="20">
      <t>モンダイ</t>
    </rPh>
    <rPh sb="28" eb="29">
      <t>ダイ</t>
    </rPh>
    <rPh sb="30" eb="31">
      <t>モン</t>
    </rPh>
    <rPh sb="38" eb="39">
      <t>ト</t>
    </rPh>
    <phoneticPr fontId="3"/>
  </si>
  <si>
    <t>損益計算書</t>
    <rPh sb="0" eb="2">
      <t>ソンエキ</t>
    </rPh>
    <rPh sb="2" eb="5">
      <t>ケイサンショ</t>
    </rPh>
    <phoneticPr fontId="3"/>
  </si>
  <si>
    <t>販管費</t>
    <rPh sb="0" eb="3">
      <t>ハンカンヒ</t>
    </rPh>
    <phoneticPr fontId="3"/>
  </si>
  <si>
    <t>当期純損益</t>
    <rPh sb="0" eb="2">
      <t>トウキ</t>
    </rPh>
    <rPh sb="2" eb="3">
      <t>ジュン</t>
    </rPh>
    <rPh sb="3" eb="5">
      <t>ソンエキ</t>
    </rPh>
    <phoneticPr fontId="3"/>
  </si>
  <si>
    <t>今年度</t>
    <rPh sb="0" eb="3">
      <t>コンネンド</t>
    </rPh>
    <phoneticPr fontId="3"/>
  </si>
  <si>
    <t>初年度(a)</t>
    <rPh sb="0" eb="3">
      <t>ショネンド</t>
    </rPh>
    <phoneticPr fontId="3"/>
  </si>
  <si>
    <t>2年目(b)</t>
    <rPh sb="1" eb="3">
      <t>ネンメ</t>
    </rPh>
    <phoneticPr fontId="3"/>
  </si>
  <si>
    <t>変動売上原価</t>
    <rPh sb="0" eb="2">
      <t>ヘンドウ</t>
    </rPh>
    <rPh sb="2" eb="4">
      <t>ウリアゲ</t>
    </rPh>
    <rPh sb="4" eb="6">
      <t>ゲンカ</t>
    </rPh>
    <phoneticPr fontId="3"/>
  </si>
  <si>
    <t>変動販売費</t>
    <rPh sb="0" eb="2">
      <t>ヘンドウ</t>
    </rPh>
    <rPh sb="2" eb="4">
      <t>ハンバイ</t>
    </rPh>
    <rPh sb="4" eb="5">
      <t>ヒ</t>
    </rPh>
    <phoneticPr fontId="3"/>
  </si>
  <si>
    <t>水道光熱費</t>
    <rPh sb="0" eb="2">
      <t>スイドウ</t>
    </rPh>
    <rPh sb="2" eb="5">
      <t>コウネツヒ</t>
    </rPh>
    <phoneticPr fontId="3"/>
  </si>
  <si>
    <t>事務通信費</t>
    <rPh sb="0" eb="2">
      <t>ジム</t>
    </rPh>
    <rPh sb="2" eb="5">
      <t>ツウシンヒ</t>
    </rPh>
    <phoneticPr fontId="3"/>
  </si>
  <si>
    <t>広告宣伝費</t>
    <rPh sb="0" eb="2">
      <t>コウコク</t>
    </rPh>
    <rPh sb="2" eb="5">
      <t>センデンヒ</t>
    </rPh>
    <phoneticPr fontId="3"/>
  </si>
  <si>
    <t>設備保守点検・修繕費</t>
    <rPh sb="0" eb="2">
      <t>セツビ</t>
    </rPh>
    <rPh sb="2" eb="4">
      <t>ホシュ</t>
    </rPh>
    <rPh sb="4" eb="6">
      <t>テンケン</t>
    </rPh>
    <rPh sb="7" eb="10">
      <t>シュウゼンヒ</t>
    </rPh>
    <phoneticPr fontId="3"/>
  </si>
  <si>
    <t>客単価</t>
    <rPh sb="0" eb="3">
      <t>キャクタンカ</t>
    </rPh>
    <phoneticPr fontId="3"/>
  </si>
  <si>
    <t>宿泊者数</t>
    <rPh sb="0" eb="3">
      <t>シュクハクシャ</t>
    </rPh>
    <rPh sb="3" eb="4">
      <t>スウ</t>
    </rPh>
    <phoneticPr fontId="3"/>
  </si>
  <si>
    <t>借入金の増加</t>
    <rPh sb="0" eb="2">
      <t>カリイレ</t>
    </rPh>
    <rPh sb="2" eb="3">
      <t>キン</t>
    </rPh>
    <rPh sb="4" eb="6">
      <t>ゾウカ</t>
    </rPh>
    <phoneticPr fontId="3"/>
  </si>
  <si>
    <t>金利</t>
    <rPh sb="0" eb="2">
      <t>キンリ</t>
    </rPh>
    <phoneticPr fontId="3"/>
  </si>
  <si>
    <t>←客単価×宿泊者数から</t>
    <rPh sb="1" eb="4">
      <t>キャクタンカ</t>
    </rPh>
    <rPh sb="5" eb="8">
      <t>シュクハクシャ</t>
    </rPh>
    <rPh sb="8" eb="9">
      <t>スウ</t>
    </rPh>
    <phoneticPr fontId="3"/>
  </si>
  <si>
    <t>←宿泊者数に応じて増加</t>
    <rPh sb="1" eb="4">
      <t>シュクハクシャ</t>
    </rPh>
    <rPh sb="4" eb="5">
      <t>スウ</t>
    </rPh>
    <rPh sb="6" eb="7">
      <t>オウ</t>
    </rPh>
    <rPh sb="9" eb="11">
      <t>ゾウカ</t>
    </rPh>
    <phoneticPr fontId="3"/>
  </si>
  <si>
    <t>←110%</t>
    <phoneticPr fontId="3"/>
  </si>
  <si>
    <t>←同額</t>
    <rPh sb="1" eb="3">
      <t>ドウガク</t>
    </rPh>
    <phoneticPr fontId="3"/>
  </si>
  <si>
    <t>←120%</t>
    <phoneticPr fontId="3"/>
  </si>
  <si>
    <t>←改修設備分が増える</t>
    <rPh sb="1" eb="3">
      <t>カイシュウ</t>
    </rPh>
    <rPh sb="3" eb="5">
      <t>セツビ</t>
    </rPh>
    <rPh sb="5" eb="6">
      <t>ブン</t>
    </rPh>
    <rPh sb="7" eb="8">
      <t>フ</t>
    </rPh>
    <phoneticPr fontId="3"/>
  </si>
  <si>
    <t>省略</t>
    <rPh sb="0" eb="2">
      <t>ショウリャク</t>
    </rPh>
    <phoneticPr fontId="3"/>
  </si>
  <si>
    <t>Y2</t>
    <phoneticPr fontId="3"/>
  </si>
  <si>
    <t>Y4</t>
  </si>
  <si>
    <t>Y5</t>
  </si>
  <si>
    <t>Y6</t>
  </si>
  <si>
    <t>Y7</t>
  </si>
  <si>
    <t>Y8</t>
  </si>
  <si>
    <t>Y9</t>
  </si>
  <si>
    <t>Y10</t>
  </si>
  <si>
    <t>【差額CF】</t>
    <rPh sb="1" eb="3">
      <t>サガク</t>
    </rPh>
    <phoneticPr fontId="3"/>
  </si>
  <si>
    <t>設備投資額</t>
    <rPh sb="0" eb="2">
      <t>セツビ</t>
    </rPh>
    <rPh sb="2" eb="4">
      <t>トウシ</t>
    </rPh>
    <rPh sb="4" eb="5">
      <t>ガク</t>
    </rPh>
    <phoneticPr fontId="3"/>
  </si>
  <si>
    <t>PV</t>
    <phoneticPr fontId="3"/>
  </si>
  <si>
    <t>年金現価係数</t>
    <rPh sb="0" eb="2">
      <t>ネンキン</t>
    </rPh>
    <rPh sb="2" eb="4">
      <t>ゲンカ</t>
    </rPh>
    <rPh sb="4" eb="6">
      <t>ケイスウ</t>
    </rPh>
    <phoneticPr fontId="3"/>
  </si>
  <si>
    <t>第1問は、例年の経営分析だけでなく、直接原価計算PL(CVP分析)＋NPVの知識まで合わせて解く総合問題。初見で当てよう！とするより、まず解き方を教わり、慣れてから自分で計算すると、学習効果が高い。</t>
    <rPh sb="0" eb="1">
      <t>ダイ</t>
    </rPh>
    <rPh sb="2" eb="3">
      <t>モン</t>
    </rPh>
    <rPh sb="5" eb="7">
      <t>レイネン</t>
    </rPh>
    <rPh sb="8" eb="10">
      <t>ケイエイ</t>
    </rPh>
    <rPh sb="10" eb="12">
      <t>ブンセキ</t>
    </rPh>
    <rPh sb="18" eb="20">
      <t>チョクセツ</t>
    </rPh>
    <rPh sb="20" eb="22">
      <t>ゲンカ</t>
    </rPh>
    <rPh sb="22" eb="24">
      <t>ケイサン</t>
    </rPh>
    <rPh sb="30" eb="32">
      <t>ブンセキ</t>
    </rPh>
    <rPh sb="38" eb="40">
      <t>チシキ</t>
    </rPh>
    <rPh sb="42" eb="43">
      <t>ア</t>
    </rPh>
    <rPh sb="46" eb="47">
      <t>ト</t>
    </rPh>
    <rPh sb="48" eb="50">
      <t>ソウゴウ</t>
    </rPh>
    <rPh sb="50" eb="52">
      <t>モンダイ</t>
    </rPh>
    <rPh sb="53" eb="55">
      <t>ショケン</t>
    </rPh>
    <rPh sb="56" eb="57">
      <t>ア</t>
    </rPh>
    <rPh sb="69" eb="70">
      <t>ト</t>
    </rPh>
    <rPh sb="71" eb="72">
      <t>カタ</t>
    </rPh>
    <rPh sb="73" eb="74">
      <t>オソ</t>
    </rPh>
    <rPh sb="77" eb="78">
      <t>ナ</t>
    </rPh>
    <rPh sb="82" eb="84">
      <t>ジブン</t>
    </rPh>
    <rPh sb="85" eb="87">
      <t>ケイサン</t>
    </rPh>
    <rPh sb="91" eb="93">
      <t>ガクシュウ</t>
    </rPh>
    <rPh sb="93" eb="95">
      <t>コウカ</t>
    </rPh>
    <rPh sb="96" eb="97">
      <t>タカ</t>
    </rPh>
    <phoneticPr fontId="3"/>
  </si>
  <si>
    <t>(設問1)は直接原価計算での予想PL作成を問う。CVP分析を理屈で押さえておけば解けるので、ミスした場所があればそこを修正。売上高→問題文により所与、売上原価→宿泊者数により増加、固定費→問題文により所与とすれば、計算できる。</t>
    <rPh sb="1" eb="3">
      <t>セツモン</t>
    </rPh>
    <rPh sb="6" eb="8">
      <t>チョクセツ</t>
    </rPh>
    <rPh sb="8" eb="10">
      <t>ゲンカ</t>
    </rPh>
    <rPh sb="10" eb="12">
      <t>ケイサン</t>
    </rPh>
    <rPh sb="14" eb="16">
      <t>ヨソウ</t>
    </rPh>
    <rPh sb="18" eb="20">
      <t>サクセイ</t>
    </rPh>
    <rPh sb="21" eb="22">
      <t>ト</t>
    </rPh>
    <rPh sb="27" eb="29">
      <t>ブンセキ</t>
    </rPh>
    <rPh sb="30" eb="32">
      <t>リクツ</t>
    </rPh>
    <rPh sb="33" eb="34">
      <t>オ</t>
    </rPh>
    <rPh sb="40" eb="41">
      <t>ト</t>
    </rPh>
    <rPh sb="50" eb="52">
      <t>バショ</t>
    </rPh>
    <rPh sb="59" eb="61">
      <t>シュウセイ</t>
    </rPh>
    <rPh sb="62" eb="64">
      <t>ウリアゲ</t>
    </rPh>
    <rPh sb="64" eb="65">
      <t>ダカ</t>
    </rPh>
    <rPh sb="66" eb="69">
      <t>モンダイブン</t>
    </rPh>
    <rPh sb="72" eb="74">
      <t>ショヨ</t>
    </rPh>
    <rPh sb="75" eb="77">
      <t>ウリアゲ</t>
    </rPh>
    <rPh sb="77" eb="79">
      <t>ゲンカ</t>
    </rPh>
    <rPh sb="80" eb="83">
      <t>シュクハクシャ</t>
    </rPh>
    <rPh sb="83" eb="84">
      <t>スウ</t>
    </rPh>
    <rPh sb="87" eb="89">
      <t>ゾウカ</t>
    </rPh>
    <rPh sb="90" eb="93">
      <t>コテイヒ</t>
    </rPh>
    <rPh sb="94" eb="96">
      <t>モンダイ</t>
    </rPh>
    <rPh sb="96" eb="97">
      <t>ブン</t>
    </rPh>
    <rPh sb="100" eb="102">
      <t>ショヨ</t>
    </rPh>
    <rPh sb="107" eb="109">
      <t>ケイサン</t>
    </rPh>
    <phoneticPr fontId="3"/>
  </si>
  <si>
    <t>(設問2)経営分析は省略</t>
    <rPh sb="1" eb="3">
      <t>セツモン</t>
    </rPh>
    <rPh sb="5" eb="7">
      <t>ケイエイ</t>
    </rPh>
    <rPh sb="7" eb="9">
      <t>ブンセキ</t>
    </rPh>
    <rPh sb="10" eb="12">
      <t>ショウリャク</t>
    </rPh>
    <phoneticPr fontId="3"/>
  </si>
  <si>
    <t>(設問3)NPVによる投資案評価。｢NPV｣と言われた瞬間に、｢営業CFの総額｣でなく、｢差額原価収益｣と気づくことがポイント。つまり同額原価は考慮しない。計算結果が当たれば良いが、｢増分の正味CF｣で考えることを計算過程で示せば、十分な部分点が狙える。</t>
    <rPh sb="1" eb="3">
      <t>セツモン</t>
    </rPh>
    <rPh sb="11" eb="13">
      <t>トウシ</t>
    </rPh>
    <rPh sb="13" eb="14">
      <t>アン</t>
    </rPh>
    <rPh sb="14" eb="16">
      <t>ヒョウカ</t>
    </rPh>
    <rPh sb="23" eb="24">
      <t>イ</t>
    </rPh>
    <rPh sb="27" eb="29">
      <t>シュンカン</t>
    </rPh>
    <rPh sb="32" eb="34">
      <t>エイギョウ</t>
    </rPh>
    <rPh sb="37" eb="39">
      <t>ソウガク</t>
    </rPh>
    <rPh sb="45" eb="47">
      <t>サガク</t>
    </rPh>
    <rPh sb="47" eb="49">
      <t>ゲンカ</t>
    </rPh>
    <rPh sb="49" eb="51">
      <t>シュウエキ</t>
    </rPh>
    <rPh sb="53" eb="54">
      <t>キ</t>
    </rPh>
    <rPh sb="67" eb="69">
      <t>ドウガク</t>
    </rPh>
    <rPh sb="69" eb="71">
      <t>ゲンカ</t>
    </rPh>
    <rPh sb="72" eb="74">
      <t>コウリョ</t>
    </rPh>
    <rPh sb="78" eb="80">
      <t>ケイサン</t>
    </rPh>
    <rPh sb="80" eb="82">
      <t>ケッカ</t>
    </rPh>
    <rPh sb="83" eb="84">
      <t>ア</t>
    </rPh>
    <rPh sb="87" eb="88">
      <t>ヨ</t>
    </rPh>
    <rPh sb="92" eb="94">
      <t>ゾウブン</t>
    </rPh>
    <rPh sb="95" eb="97">
      <t>ショウミ</t>
    </rPh>
    <rPh sb="101" eb="102">
      <t>カンガ</t>
    </rPh>
    <rPh sb="107" eb="109">
      <t>ケイサン</t>
    </rPh>
    <rPh sb="109" eb="111">
      <t>カテイ</t>
    </rPh>
    <rPh sb="112" eb="113">
      <t>シメ</t>
    </rPh>
    <rPh sb="116" eb="118">
      <t>ジュウブン</t>
    </rPh>
    <rPh sb="119" eb="122">
      <t>ブブンテン</t>
    </rPh>
    <rPh sb="123" eb="124">
      <t>ネラ</t>
    </rPh>
    <phoneticPr fontId="3"/>
  </si>
  <si>
    <t>千円のプラスとなり、投資案を採用する</t>
    <rPh sb="0" eb="2">
      <t>センエン</t>
    </rPh>
    <rPh sb="10" eb="12">
      <t>トウシ</t>
    </rPh>
    <rPh sb="12" eb="13">
      <t>アン</t>
    </rPh>
    <rPh sb="14" eb="16">
      <t>サイヨウ</t>
    </rPh>
    <phoneticPr fontId="3"/>
  </si>
  <si>
    <t>第2問用・・旧館を閉鎖した場合の予想PL</t>
    <rPh sb="0" eb="1">
      <t>ダイ</t>
    </rPh>
    <rPh sb="2" eb="3">
      <t>モン</t>
    </rPh>
    <rPh sb="3" eb="4">
      <t>ヨウ</t>
    </rPh>
    <rPh sb="6" eb="7">
      <t>キュウ</t>
    </rPh>
    <rPh sb="7" eb="8">
      <t>カン</t>
    </rPh>
    <rPh sb="9" eb="11">
      <t>ヘイサ</t>
    </rPh>
    <rPh sb="13" eb="15">
      <t>バアイ</t>
    </rPh>
    <rPh sb="16" eb="18">
      <t>ヨソウ</t>
    </rPh>
    <phoneticPr fontId="3"/>
  </si>
  <si>
    <t>損益計算書(直接原価計算)</t>
  </si>
  <si>
    <t>損益計算書(直接原価計算)</t>
    <rPh sb="0" eb="2">
      <t>ソンエキ</t>
    </rPh>
    <rPh sb="2" eb="5">
      <t>ケイサンショ</t>
    </rPh>
    <rPh sb="6" eb="8">
      <t>チョクセツ</t>
    </rPh>
    <rPh sb="8" eb="10">
      <t>ゲンカ</t>
    </rPh>
    <rPh sb="10" eb="12">
      <t>ケイサン</t>
    </rPh>
    <phoneticPr fontId="3"/>
  </si>
  <si>
    <t>第2問用・・旧館を閉鎖した場合の予想PL ・・第1問で計算した内容からコピペ</t>
    <rPh sb="0" eb="1">
      <t>ダイ</t>
    </rPh>
    <rPh sb="2" eb="3">
      <t>モン</t>
    </rPh>
    <rPh sb="3" eb="4">
      <t>ヨウ</t>
    </rPh>
    <rPh sb="6" eb="7">
      <t>キュウ</t>
    </rPh>
    <rPh sb="7" eb="8">
      <t>カン</t>
    </rPh>
    <rPh sb="9" eb="11">
      <t>ヘイサ</t>
    </rPh>
    <rPh sb="13" eb="15">
      <t>バアイ</t>
    </rPh>
    <rPh sb="16" eb="18">
      <t>ヨソウ</t>
    </rPh>
    <rPh sb="23" eb="24">
      <t>ダイ</t>
    </rPh>
    <rPh sb="25" eb="26">
      <t>モン</t>
    </rPh>
    <rPh sb="27" eb="29">
      <t>ケイサン</t>
    </rPh>
    <rPh sb="31" eb="33">
      <t>ナイヨウ</t>
    </rPh>
    <phoneticPr fontId="3"/>
  </si>
  <si>
    <t>損益分岐点比率</t>
    <rPh sb="0" eb="2">
      <t>ソンエキ</t>
    </rPh>
    <rPh sb="2" eb="5">
      <t>ブンキテン</t>
    </rPh>
    <rPh sb="5" eb="7">
      <t>ヒリツ</t>
    </rPh>
    <phoneticPr fontId="3"/>
  </si>
  <si>
    <t>千円</t>
    <rPh sb="0" eb="2">
      <t>センエン</t>
    </rPh>
    <phoneticPr fontId="3"/>
  </si>
  <si>
    <t>感度分析・・売上・変動比率を一定とし、固定費削減額を考える</t>
    <rPh sb="0" eb="2">
      <t>カンド</t>
    </rPh>
    <rPh sb="2" eb="4">
      <t>ブンセキ</t>
    </rPh>
    <rPh sb="6" eb="8">
      <t>ウリアゲ</t>
    </rPh>
    <rPh sb="9" eb="11">
      <t>ヘンドウ</t>
    </rPh>
    <rPh sb="11" eb="13">
      <t>ヒリツ</t>
    </rPh>
    <rPh sb="14" eb="16">
      <t>イッテイ</t>
    </rPh>
    <rPh sb="19" eb="22">
      <t>コテイヒ</t>
    </rPh>
    <rPh sb="22" eb="24">
      <t>サクゲン</t>
    </rPh>
    <rPh sb="24" eb="25">
      <t>ガク</t>
    </rPh>
    <rPh sb="26" eb="27">
      <t>カンガ</t>
    </rPh>
    <phoneticPr fontId="3"/>
  </si>
  <si>
    <t>目標固定費をxと置き、方程式で解く</t>
    <rPh sb="0" eb="2">
      <t>モクヒョウ</t>
    </rPh>
    <rPh sb="2" eb="5">
      <t>コテイヒ</t>
    </rPh>
    <rPh sb="8" eb="9">
      <t>オ</t>
    </rPh>
    <rPh sb="11" eb="14">
      <t>ホウテイシキ</t>
    </rPh>
    <rPh sb="15" eb="16">
      <t>ト</t>
    </rPh>
    <phoneticPr fontId="3"/>
  </si>
  <si>
    <t>ｘ</t>
    <phoneticPr fontId="3"/>
  </si>
  <si>
    <t>÷</t>
    <phoneticPr fontId="3"/>
  </si>
  <si>
    <t>=</t>
    <phoneticPr fontId="3"/>
  </si>
  <si>
    <t>削減目標額</t>
    <rPh sb="0" eb="2">
      <t>サクゲン</t>
    </rPh>
    <rPh sb="2" eb="4">
      <t>モクヒョウ</t>
    </rPh>
    <rPh sb="4" eb="5">
      <t>ガク</t>
    </rPh>
    <phoneticPr fontId="3"/>
  </si>
  <si>
    <t>・CVP分析としては計算量が少なく、案外スッキリ当てやすい問題。ただし、第1問の予想PL＋直接原価計算PLの知識が必要なので、間違えた所は確実に復習。</t>
    <rPh sb="4" eb="6">
      <t>ブンセキ</t>
    </rPh>
    <rPh sb="10" eb="12">
      <t>ケイサン</t>
    </rPh>
    <rPh sb="12" eb="13">
      <t>リョウ</t>
    </rPh>
    <rPh sb="14" eb="15">
      <t>スク</t>
    </rPh>
    <rPh sb="18" eb="20">
      <t>アンガイ</t>
    </rPh>
    <rPh sb="24" eb="25">
      <t>ア</t>
    </rPh>
    <rPh sb="29" eb="31">
      <t>モンダイ</t>
    </rPh>
    <rPh sb="36" eb="37">
      <t>ダイ</t>
    </rPh>
    <rPh sb="38" eb="39">
      <t>モン</t>
    </rPh>
    <rPh sb="40" eb="42">
      <t>ヨソウ</t>
    </rPh>
    <rPh sb="45" eb="47">
      <t>チョクセツ</t>
    </rPh>
    <rPh sb="47" eb="49">
      <t>ゲンカ</t>
    </rPh>
    <rPh sb="49" eb="51">
      <t>ケイサン</t>
    </rPh>
    <rPh sb="54" eb="56">
      <t>チシキ</t>
    </rPh>
    <rPh sb="57" eb="59">
      <t>ヒツヨウ</t>
    </rPh>
    <rPh sb="63" eb="65">
      <t>マチガ</t>
    </rPh>
    <rPh sb="67" eb="68">
      <t>トコロ</t>
    </rPh>
    <rPh sb="69" eb="71">
      <t>カクジツ</t>
    </rPh>
    <rPh sb="72" eb="74">
      <t>フクシュウ</t>
    </rPh>
    <phoneticPr fontId="3"/>
  </si>
  <si>
    <t>･(設問2)の固定費削減額は、計算問題としてはシンプル。ただし売上が伸びない場合、赤字を回避するために固定費を削るのは実際よく行われるので、診断実務に使えるパターンとして覚えておくのも良い。</t>
    <rPh sb="2" eb="4">
      <t>セツモン</t>
    </rPh>
    <rPh sb="7" eb="10">
      <t>コテイヒ</t>
    </rPh>
    <rPh sb="10" eb="12">
      <t>サクゲン</t>
    </rPh>
    <rPh sb="12" eb="13">
      <t>ガク</t>
    </rPh>
    <rPh sb="15" eb="17">
      <t>ケイサン</t>
    </rPh>
    <rPh sb="17" eb="19">
      <t>モンダイ</t>
    </rPh>
    <rPh sb="31" eb="33">
      <t>ウリアゲ</t>
    </rPh>
    <rPh sb="34" eb="35">
      <t>ノ</t>
    </rPh>
    <rPh sb="38" eb="40">
      <t>バアイ</t>
    </rPh>
    <rPh sb="41" eb="43">
      <t>アカジ</t>
    </rPh>
    <rPh sb="44" eb="46">
      <t>カイヒ</t>
    </rPh>
    <rPh sb="51" eb="54">
      <t>コテイヒ</t>
    </rPh>
    <rPh sb="55" eb="56">
      <t>ケズ</t>
    </rPh>
    <rPh sb="59" eb="61">
      <t>ジッサイ</t>
    </rPh>
    <rPh sb="63" eb="64">
      <t>オコナ</t>
    </rPh>
    <rPh sb="70" eb="72">
      <t>シンダン</t>
    </rPh>
    <rPh sb="72" eb="74">
      <t>ジツム</t>
    </rPh>
    <rPh sb="75" eb="76">
      <t>ツカ</t>
    </rPh>
    <rPh sb="85" eb="86">
      <t>オボ</t>
    </rPh>
    <rPh sb="92" eb="93">
      <t>ヨ</t>
    </rPh>
    <phoneticPr fontId="3"/>
  </si>
  <si>
    <t>・第２~３問と違った視点で、今年度のPLからオーナー夫妻給与のみ除き、営業利益を黒字にしたうえで、企業価値を計算させる。</t>
    <rPh sb="1" eb="2">
      <t>ダイ</t>
    </rPh>
    <rPh sb="5" eb="6">
      <t>モン</t>
    </rPh>
    <rPh sb="7" eb="8">
      <t>チガ</t>
    </rPh>
    <rPh sb="10" eb="12">
      <t>シテン</t>
    </rPh>
    <rPh sb="14" eb="17">
      <t>コンネンド</t>
    </rPh>
    <rPh sb="26" eb="28">
      <t>フサイ</t>
    </rPh>
    <rPh sb="28" eb="30">
      <t>キュウヨ</t>
    </rPh>
    <rPh sb="32" eb="33">
      <t>ノゾ</t>
    </rPh>
    <rPh sb="35" eb="37">
      <t>エイギョウ</t>
    </rPh>
    <rPh sb="37" eb="39">
      <t>リエキ</t>
    </rPh>
    <rPh sb="40" eb="42">
      <t>クロジ</t>
    </rPh>
    <rPh sb="49" eb="51">
      <t>キギョウ</t>
    </rPh>
    <rPh sb="51" eb="53">
      <t>カチ</t>
    </rPh>
    <rPh sb="54" eb="56">
      <t>ケイサン</t>
    </rPh>
    <phoneticPr fontId="3"/>
  </si>
  <si>
    <t>オーナー夫妻給与のみ除く</t>
    <rPh sb="4" eb="6">
      <t>フサイ</t>
    </rPh>
    <rPh sb="6" eb="8">
      <t>キュウヨ</t>
    </rPh>
    <rPh sb="10" eb="11">
      <t>ノゾ</t>
    </rPh>
    <phoneticPr fontId="3"/>
  </si>
  <si>
    <t>オーナー夫妻給与</t>
    <rPh sb="4" eb="6">
      <t>フサイ</t>
    </rPh>
    <rPh sb="6" eb="8">
      <t>キュウヨ</t>
    </rPh>
    <phoneticPr fontId="3"/>
  </si>
  <si>
    <t>WACC</t>
    <phoneticPr fontId="3"/>
  </si>
  <si>
    <t>改修設備の減価償却費</t>
    <rPh sb="0" eb="2">
      <t>カイシュウ</t>
    </rPh>
    <rPh sb="2" eb="4">
      <t>セツビ</t>
    </rPh>
    <rPh sb="5" eb="7">
      <t>ゲンカ</t>
    </rPh>
    <rPh sb="7" eb="9">
      <t>ショウキャク</t>
    </rPh>
    <rPh sb="9" eb="10">
      <t>ヒ</t>
    </rPh>
    <phoneticPr fontId="3"/>
  </si>
  <si>
    <t>売上原価・販管費の内訳(固定費⇔変動費の分解)</t>
    <rPh sb="0" eb="2">
      <t>ウリアゲ</t>
    </rPh>
    <rPh sb="2" eb="4">
      <t>ゲンカ</t>
    </rPh>
    <rPh sb="5" eb="8">
      <t>ハンカンヒ</t>
    </rPh>
    <rPh sb="9" eb="11">
      <t>ウチワケ</t>
    </rPh>
    <rPh sb="12" eb="15">
      <t>コテイヒ</t>
    </rPh>
    <rPh sb="16" eb="18">
      <t>ヘンドウ</t>
    </rPh>
    <rPh sb="18" eb="19">
      <t>ヒ</t>
    </rPh>
    <rPh sb="20" eb="22">
      <t>ブンカイ</t>
    </rPh>
    <phoneticPr fontId="3"/>
  </si>
  <si>
    <t>←旧館閉鎖により固定費も△30%減</t>
    <rPh sb="1" eb="3">
      <t>キュウカン</t>
    </rPh>
    <rPh sb="3" eb="5">
      <t>ヘイサ</t>
    </rPh>
    <rPh sb="8" eb="11">
      <t>コテイヒ</t>
    </rPh>
    <rPh sb="16" eb="17">
      <t>ゲン</t>
    </rPh>
    <phoneticPr fontId="3"/>
  </si>
  <si>
    <t>←宿泊者数に応じて減少</t>
    <rPh sb="1" eb="4">
      <t>シュクハクシャ</t>
    </rPh>
    <rPh sb="4" eb="5">
      <t>スウ</t>
    </rPh>
    <rPh sb="6" eb="7">
      <t>オウ</t>
    </rPh>
    <rPh sb="9" eb="11">
      <t>ゲンショウ</t>
    </rPh>
    <phoneticPr fontId="3"/>
  </si>
  <si>
    <t>←なぜか減らないが、問題文指示に従う</t>
    <rPh sb="4" eb="5">
      <t>ヘ</t>
    </rPh>
    <rPh sb="10" eb="13">
      <t>モンダイブン</t>
    </rPh>
    <rPh sb="13" eb="15">
      <t>シジ</t>
    </rPh>
    <rPh sb="16" eb="17">
      <t>シタガ</t>
    </rPh>
    <phoneticPr fontId="3"/>
  </si>
  <si>
    <t>←減らない。旧館は減価償却済と考えて納得</t>
    <rPh sb="1" eb="2">
      <t>ヘ</t>
    </rPh>
    <rPh sb="6" eb="8">
      <t>キュウカン</t>
    </rPh>
    <rPh sb="9" eb="11">
      <t>ゲンカ</t>
    </rPh>
    <rPh sb="11" eb="13">
      <t>ショウキャク</t>
    </rPh>
    <rPh sb="13" eb="14">
      <t>スミ</t>
    </rPh>
    <rPh sb="15" eb="16">
      <t>カンガ</t>
    </rPh>
    <rPh sb="18" eb="20">
      <t>ナットク</t>
    </rPh>
    <phoneticPr fontId="3"/>
  </si>
  <si>
    <t>CVP分析</t>
    <rPh sb="3" eb="5">
      <t>ブンセキ</t>
    </rPh>
    <phoneticPr fontId="3"/>
  </si>
  <si>
    <t>今年度との差額</t>
    <rPh sb="0" eb="3">
      <t>コンネンド</t>
    </rPh>
    <rPh sb="5" eb="7">
      <t>サガク</t>
    </rPh>
    <phoneticPr fontId="3"/>
  </si>
  <si>
    <t>初年度</t>
    <rPh sb="0" eb="3">
      <t>ショネンド</t>
    </rPh>
    <phoneticPr fontId="3"/>
  </si>
  <si>
    <t>2年目以降</t>
    <rPh sb="1" eb="3">
      <t>ネンメ</t>
    </rPh>
    <rPh sb="3" eb="5">
      <t>イコウ</t>
    </rPh>
    <phoneticPr fontId="3"/>
  </si>
  <si>
    <t>←100百万円を達成するには、ここまで売上を伸ばす。</t>
    <rPh sb="4" eb="7">
      <t>ヒャクマンエン</t>
    </rPh>
    <rPh sb="8" eb="10">
      <t>タッセイ</t>
    </rPh>
    <rPh sb="19" eb="21">
      <t>ウリアゲ</t>
    </rPh>
    <rPh sb="22" eb="23">
      <t>ノ</t>
    </rPh>
    <phoneticPr fontId="3"/>
  </si>
  <si>
    <t>(設問1) 間接法CF計算書の作成 (営業CFのみ)</t>
    <rPh sb="1" eb="3">
      <t>セツモン</t>
    </rPh>
    <rPh sb="6" eb="8">
      <t>カンセツ</t>
    </rPh>
    <rPh sb="8" eb="9">
      <t>ホウ</t>
    </rPh>
    <rPh sb="11" eb="14">
      <t>ケイサンショ</t>
    </rPh>
    <rPh sb="15" eb="17">
      <t>サクセイ</t>
    </rPh>
    <rPh sb="19" eb="21">
      <t>エイギョウ</t>
    </rPh>
    <phoneticPr fontId="3"/>
  </si>
  <si>
    <t>CF計算書＋ NPV。←本来別物の論点をまぜまぜ。</t>
    <rPh sb="2" eb="5">
      <t>ケイサンショ</t>
    </rPh>
    <rPh sb="12" eb="14">
      <t>ホンライ</t>
    </rPh>
    <rPh sb="14" eb="16">
      <t>ベツモノ</t>
    </rPh>
    <rPh sb="17" eb="19">
      <t>ロンテン</t>
    </rPh>
    <phoneticPr fontId="3"/>
  </si>
  <si>
    <t>←BS運転資本の増減</t>
    <rPh sb="3" eb="5">
      <t>ウンテン</t>
    </rPh>
    <rPh sb="5" eb="7">
      <t>シホン</t>
    </rPh>
    <rPh sb="8" eb="10">
      <t>ゾウゲン</t>
    </rPh>
    <phoneticPr fontId="3"/>
  </si>
  <si>
    <t>1次｢財務｣レベルのごく基本問題</t>
    <rPh sb="1" eb="2">
      <t>ジ</t>
    </rPh>
    <rPh sb="3" eb="5">
      <t>ザイム</t>
    </rPh>
    <rPh sb="12" eb="14">
      <t>キホン</t>
    </rPh>
    <rPh sb="14" eb="16">
      <t>モンダイ</t>
    </rPh>
    <phoneticPr fontId="3"/>
  </si>
  <si>
    <t>部分点があるので、営業CF計は</t>
    <rPh sb="0" eb="2">
      <t>ブブン</t>
    </rPh>
    <rPh sb="2" eb="3">
      <t>テン</t>
    </rPh>
    <rPh sb="9" eb="11">
      <t>エイギョウ</t>
    </rPh>
    <rPh sb="13" eb="14">
      <t>ケイ</t>
    </rPh>
    <phoneticPr fontId="3"/>
  </si>
  <si>
    <t>必ずしも当たらなくてもOK。</t>
    <rPh sb="0" eb="1">
      <t>カナラ</t>
    </rPh>
    <rPh sb="4" eb="5">
      <t>ア</t>
    </rPh>
    <phoneticPr fontId="3"/>
  </si>
  <si>
    <t>←①の解答は、土地・建物それぞれの簿価を求め、現在価値に割り引けばOK。</t>
    <rPh sb="3" eb="5">
      <t>カイトウ</t>
    </rPh>
    <rPh sb="7" eb="9">
      <t>トチ</t>
    </rPh>
    <rPh sb="10" eb="12">
      <t>タテモノ</t>
    </rPh>
    <rPh sb="17" eb="19">
      <t>ボカ</t>
    </rPh>
    <rPh sb="20" eb="21">
      <t>モト</t>
    </rPh>
    <rPh sb="23" eb="25">
      <t>ゲンザイ</t>
    </rPh>
    <rPh sb="25" eb="27">
      <t>カチ</t>
    </rPh>
    <rPh sb="28" eb="29">
      <t>ワ</t>
    </rPh>
    <rPh sb="30" eb="31">
      <t>ビ</t>
    </rPh>
    <phoneticPr fontId="3"/>
  </si>
  <si>
    <t>A</t>
    <phoneticPr fontId="3"/>
  </si>
  <si>
    <t>A：NPV</t>
    <phoneticPr fontId="3"/>
  </si>
  <si>
    <t>B：NPV</t>
    <phoneticPr fontId="3"/>
  </si>
  <si>
    <t>C：期待される増分CF</t>
    <rPh sb="2" eb="4">
      <t>キタイ</t>
    </rPh>
    <rPh sb="7" eb="9">
      <t>ゾウブン</t>
    </rPh>
    <phoneticPr fontId="3"/>
  </si>
  <si>
    <t>NPV≧0 A＋B＋C</t>
    <phoneticPr fontId="3"/>
  </si>
  <si>
    <t>←①の結果から、土地・建物・器具備品のNPVは▲273百万円となる。</t>
    <rPh sb="3" eb="5">
      <t>ケッカ</t>
    </rPh>
    <rPh sb="8" eb="10">
      <t>トチ</t>
    </rPh>
    <rPh sb="11" eb="13">
      <t>タテモノ</t>
    </rPh>
    <rPh sb="14" eb="16">
      <t>キグ</t>
    </rPh>
    <rPh sb="16" eb="18">
      <t>ビヒン</t>
    </rPh>
    <rPh sb="27" eb="30">
      <t>ヒャクマンエン</t>
    </rPh>
    <phoneticPr fontId="3"/>
  </si>
  <si>
    <t>→</t>
  </si>
  <si>
    <t>→</t>
    <phoneticPr fontId="3"/>
  </si>
  <si>
    <t>複利現価係数</t>
    <rPh sb="0" eb="2">
      <t>フクリ</t>
    </rPh>
    <rPh sb="2" eb="4">
      <t>ゲンカ</t>
    </rPh>
    <rPh sb="4" eb="6">
      <t>ケイスウ</t>
    </rPh>
    <phoneticPr fontId="3"/>
  </si>
  <si>
    <t>増分CFをxと置き、x×3.9740＝273の方程式を解く。</t>
    <rPh sb="0" eb="2">
      <t>ゾウブン</t>
    </rPh>
    <rPh sb="7" eb="8">
      <t>オ</t>
    </rPh>
    <rPh sb="23" eb="26">
      <t>ホウテイシキ</t>
    </rPh>
    <rPh sb="27" eb="28">
      <t>ト</t>
    </rPh>
    <phoneticPr fontId="3"/>
  </si>
  <si>
    <t xml:space="preserve">    この設備投資にGOサインを出すには、税引後CIFの増加額≧273百万円と考え、方程式で増分CF69を求める。</t>
    <rPh sb="6" eb="8">
      <t>セツビ</t>
    </rPh>
    <rPh sb="8" eb="10">
      <t>トウシ</t>
    </rPh>
    <rPh sb="17" eb="18">
      <t>ダ</t>
    </rPh>
    <rPh sb="22" eb="24">
      <t>ゼイビキ</t>
    </rPh>
    <rPh sb="24" eb="25">
      <t>ゴ</t>
    </rPh>
    <rPh sb="29" eb="31">
      <t>ゾウカ</t>
    </rPh>
    <rPh sb="31" eb="32">
      <t>ガク</t>
    </rPh>
    <rPh sb="36" eb="39">
      <t>ヒャクマンエン</t>
    </rPh>
    <rPh sb="40" eb="41">
      <t>カンガ</t>
    </rPh>
    <rPh sb="43" eb="46">
      <t>ホウテイシキ</t>
    </rPh>
    <rPh sb="47" eb="49">
      <t>ゾウブン</t>
    </rPh>
    <rPh sb="54" eb="55">
      <t>モト</t>
    </rPh>
    <phoneticPr fontId="3"/>
  </si>
  <si>
    <t>↑年金現価係数を使うと計算短縮できるが、複利現価係数を足す方が、シンプルで迷わない。</t>
    <rPh sb="1" eb="3">
      <t>ネンキン</t>
    </rPh>
    <rPh sb="3" eb="5">
      <t>ゲンカ</t>
    </rPh>
    <rPh sb="5" eb="7">
      <t>ケイスウ</t>
    </rPh>
    <rPh sb="8" eb="9">
      <t>ツカ</t>
    </rPh>
    <rPh sb="11" eb="13">
      <t>ケイサン</t>
    </rPh>
    <rPh sb="13" eb="15">
      <t>タンシュク</t>
    </rPh>
    <rPh sb="20" eb="22">
      <t>フクリ</t>
    </rPh>
    <rPh sb="22" eb="24">
      <t>ゲンカ</t>
    </rPh>
    <rPh sb="24" eb="26">
      <t>ケイスウ</t>
    </rPh>
    <rPh sb="27" eb="28">
      <t>タ</t>
    </rPh>
    <rPh sb="29" eb="30">
      <t>ホウ</t>
    </rPh>
    <rPh sb="37" eb="38">
      <t>マヨ</t>
    </rPh>
    <phoneticPr fontId="3"/>
  </si>
  <si>
    <t xml:space="preserve">    タイムテーブルを正確に描くことがポイント。</t>
    <rPh sb="12" eb="14">
      <t>セイカク</t>
    </rPh>
    <rPh sb="15" eb="16">
      <t>カ</t>
    </rPh>
    <phoneticPr fontId="3"/>
  </si>
  <si>
    <t>⇅設問１(CF計算書)と設問２(NPV)は数字が全くつながらない。本来は別の問題として出すべき論点。</t>
    <rPh sb="1" eb="3">
      <t>セツモン</t>
    </rPh>
    <rPh sb="7" eb="10">
      <t>ケイサンショ</t>
    </rPh>
    <rPh sb="12" eb="14">
      <t>セツモン</t>
    </rPh>
    <rPh sb="21" eb="23">
      <t>スウジ</t>
    </rPh>
    <rPh sb="24" eb="25">
      <t>マッタ</t>
    </rPh>
    <rPh sb="33" eb="35">
      <t>ホンライ</t>
    </rPh>
    <rPh sb="36" eb="37">
      <t>ベツ</t>
    </rPh>
    <rPh sb="38" eb="40">
      <t>モンダイ</t>
    </rPh>
    <rPh sb="43" eb="44">
      <t>ダ</t>
    </rPh>
    <rPh sb="47" eb="49">
      <t>ロンテン</t>
    </rPh>
    <phoneticPr fontId="3"/>
  </si>
  <si>
    <t>C</t>
    <phoneticPr fontId="3"/>
  </si>
  <si>
    <t>予想PL＋NPV</t>
    <rPh sb="0" eb="2">
      <t>ヨソウ</t>
    </rPh>
    <phoneticPr fontId="3"/>
  </si>
  <si>
    <t>D</t>
    <phoneticPr fontId="3"/>
  </si>
  <si>
    <t>E</t>
    <phoneticPr fontId="3"/>
  </si>
  <si>
    <t>○</t>
    <phoneticPr fontId="3"/>
  </si>
  <si>
    <t>○</t>
    <phoneticPr fontId="3"/>
  </si>
  <si>
    <t>×</t>
    <phoneticPr fontId="3"/>
  </si>
  <si>
    <t>×</t>
    <phoneticPr fontId="3"/>
  </si>
  <si>
    <t>予想PL</t>
    <rPh sb="0" eb="2">
      <t>ヨソウ</t>
    </rPh>
    <phoneticPr fontId="3"/>
  </si>
  <si>
    <t>●予想PL(難)</t>
    <rPh sb="1" eb="3">
      <t>ヨソウ</t>
    </rPh>
    <rPh sb="6" eb="7">
      <t>ナン</t>
    </rPh>
    <phoneticPr fontId="3"/>
  </si>
  <si>
    <t>営業キャッシュフロー</t>
    <rPh sb="0" eb="2">
      <t>エイギョウ</t>
    </rPh>
    <phoneticPr fontId="3"/>
  </si>
  <si>
    <t>税引後キャッシュフロー、または単にキャッシュフロー</t>
    <rPh sb="0" eb="2">
      <t>ゼイビキ</t>
    </rPh>
    <rPh sb="2" eb="3">
      <t>ゴ</t>
    </rPh>
    <rPh sb="15" eb="16">
      <t>タン</t>
    </rPh>
    <phoneticPr fontId="3"/>
  </si>
  <si>
    <t>CF計算書の出題</t>
    <rPh sb="2" eb="5">
      <t>ケイサンショ</t>
    </rPh>
    <rPh sb="6" eb="8">
      <t>シュツダイ</t>
    </rPh>
    <phoneticPr fontId="3"/>
  </si>
  <si>
    <t>差額CF</t>
    <rPh sb="0" eb="2">
      <t>サガク</t>
    </rPh>
    <phoneticPr fontId="3"/>
  </si>
  <si>
    <t>○</t>
    <phoneticPr fontId="3"/>
  </si>
  <si>
    <t>×</t>
    <phoneticPr fontId="3"/>
  </si>
  <si>
    <t>○</t>
    <phoneticPr fontId="3"/>
  </si>
  <si>
    <t>正味現在価値(NPV)</t>
    <rPh sb="0" eb="2">
      <t>ショウミ</t>
    </rPh>
    <rPh sb="2" eb="4">
      <t>ゲンザイ</t>
    </rPh>
    <rPh sb="4" eb="6">
      <t>カチ</t>
    </rPh>
    <phoneticPr fontId="3"/>
  </si>
  <si>
    <t>企業価値</t>
    <rPh sb="0" eb="2">
      <t>キギョウ</t>
    </rPh>
    <rPh sb="2" eb="4">
      <t>カチ</t>
    </rPh>
    <phoneticPr fontId="3"/>
  </si>
  <si>
    <t>【DCF法】</t>
    <rPh sb="4" eb="5">
      <t>ホウ</t>
    </rPh>
    <phoneticPr fontId="3"/>
  </si>
  <si>
    <t>○
FCF</t>
    <phoneticPr fontId="3"/>
  </si>
  <si>
    <t>企業価値の計算(DCF法、FCF÷WACC)</t>
    <rPh sb="0" eb="2">
      <t>キギョウ</t>
    </rPh>
    <rPh sb="2" eb="4">
      <t>カチ</t>
    </rPh>
    <rPh sb="5" eb="7">
      <t>ケイサン</t>
    </rPh>
    <rPh sb="11" eb="12">
      <t>ホウ</t>
    </rPh>
    <phoneticPr fontId="3"/>
  </si>
  <si>
    <t>○</t>
    <phoneticPr fontId="3"/>
  </si>
  <si>
    <t>×</t>
    <phoneticPr fontId="3"/>
  </si>
  <si>
    <t>×</t>
    <phoneticPr fontId="3"/>
  </si>
  <si>
    <t>(設問3)</t>
    <rPh sb="1" eb="3">
      <t>セツモン</t>
    </rPh>
    <phoneticPr fontId="3"/>
  </si>
  <si>
    <t>回収期間法</t>
    <rPh sb="0" eb="2">
      <t>カイシュウ</t>
    </rPh>
    <rPh sb="2" eb="4">
      <t>キカン</t>
    </rPh>
    <rPh sb="4" eb="5">
      <t>ホウ</t>
    </rPh>
    <phoneticPr fontId="3"/>
  </si>
  <si>
    <t>C</t>
    <phoneticPr fontId="3"/>
  </si>
  <si>
    <t>○</t>
    <phoneticPr fontId="3"/>
  </si>
  <si>
    <t>△</t>
    <phoneticPr fontId="3"/>
  </si>
  <si>
    <t>営業CF(直接法)</t>
    <rPh sb="0" eb="2">
      <t>エイギョウ</t>
    </rPh>
    <rPh sb="5" eb="7">
      <t>チョクセツ</t>
    </rPh>
    <rPh sb="7" eb="8">
      <t>ホウ</t>
    </rPh>
    <phoneticPr fontId="3"/>
  </si>
  <si>
    <t>営業キャッシュ・フロー（直説法）  ※注 当問は、NPV(ファイナンス)でなく、CF計算書(アカウンティング)の問題として捉える。</t>
    <rPh sb="0" eb="2">
      <t>エイギョウ</t>
    </rPh>
    <rPh sb="12" eb="15">
      <t>チョクセツホウ</t>
    </rPh>
    <rPh sb="19" eb="20">
      <t>チュウ</t>
    </rPh>
    <rPh sb="21" eb="22">
      <t>トウ</t>
    </rPh>
    <rPh sb="22" eb="23">
      <t>モン</t>
    </rPh>
    <rPh sb="42" eb="45">
      <t>ケイサンショ</t>
    </rPh>
    <rPh sb="56" eb="58">
      <t>モンダイ</t>
    </rPh>
    <rPh sb="61" eb="62">
      <t>トラ</t>
    </rPh>
    <phoneticPr fontId="3"/>
  </si>
  <si>
    <t>営業収入</t>
    <rPh sb="0" eb="2">
      <t>エイギョウ</t>
    </rPh>
    <rPh sb="2" eb="4">
      <t>シュウニュウ</t>
    </rPh>
    <phoneticPr fontId="3"/>
  </si>
  <si>
    <t>設備投資額</t>
    <rPh sb="0" eb="2">
      <t>セツビ</t>
    </rPh>
    <rPh sb="2" eb="4">
      <t>トウシ</t>
    </rPh>
    <rPh sb="4" eb="5">
      <t>ガク</t>
    </rPh>
    <phoneticPr fontId="3"/>
  </si>
  <si>
    <t>変動費の支出</t>
    <rPh sb="0" eb="2">
      <t>ヘンドウ</t>
    </rPh>
    <rPh sb="2" eb="3">
      <t>ヒ</t>
    </rPh>
    <rPh sb="4" eb="6">
      <t>シシュツ</t>
    </rPh>
    <phoneticPr fontId="3"/>
  </si>
  <si>
    <t>固定費の支出</t>
    <rPh sb="0" eb="3">
      <t>コテイヒ</t>
    </rPh>
    <rPh sb="4" eb="6">
      <t>シシュツ</t>
    </rPh>
    <phoneticPr fontId="3"/>
  </si>
  <si>
    <t>②私募債の場合</t>
    <rPh sb="1" eb="4">
      <t>シボサイ</t>
    </rPh>
    <rPh sb="5" eb="7">
      <t>バアイ</t>
    </rPh>
    <phoneticPr fontId="3"/>
  </si>
  <si>
    <t>更新投資</t>
    <rPh sb="0" eb="2">
      <t>コウシン</t>
    </rPh>
    <rPh sb="2" eb="4">
      <t>トウシ</t>
    </rPh>
    <phoneticPr fontId="3"/>
  </si>
  <si>
    <t>私募債の発行</t>
    <rPh sb="0" eb="3">
      <t>シボサイ</t>
    </rPh>
    <rPh sb="4" eb="6">
      <t>ハッコウ</t>
    </rPh>
    <phoneticPr fontId="3"/>
  </si>
  <si>
    <t>更新投資</t>
    <rPh sb="0" eb="2">
      <t>コウシン</t>
    </rPh>
    <rPh sb="2" eb="4">
      <t>トウシ</t>
    </rPh>
    <phoneticPr fontId="3"/>
  </si>
  <si>
    <t>営業CF</t>
    <rPh sb="0" eb="2">
      <t>エイギョウ</t>
    </rPh>
    <phoneticPr fontId="3"/>
  </si>
  <si>
    <t>支払利息の差額</t>
    <rPh sb="0" eb="2">
      <t>シハラ</t>
    </rPh>
    <rPh sb="2" eb="4">
      <t>リソク</t>
    </rPh>
    <rPh sb="5" eb="7">
      <t>サガク</t>
    </rPh>
    <phoneticPr fontId="3"/>
  </si>
  <si>
    <t>+)銀行借入の利息</t>
    <rPh sb="2" eb="4">
      <t>ギンコウ</t>
    </rPh>
    <rPh sb="4" eb="6">
      <t>カリイレ</t>
    </rPh>
    <rPh sb="7" eb="9">
      <t>リソク</t>
    </rPh>
    <phoneticPr fontId="3"/>
  </si>
  <si>
    <t>-)私募債の利息</t>
    <rPh sb="2" eb="5">
      <t>シボサイ</t>
    </rPh>
    <rPh sb="6" eb="8">
      <t>リソク</t>
    </rPh>
    <phoneticPr fontId="3"/>
  </si>
  <si>
    <t>←私募債の方が支払利息が多く、その分現金が目減りする</t>
    <rPh sb="1" eb="4">
      <t>シボサイ</t>
    </rPh>
    <rPh sb="5" eb="6">
      <t>ホウ</t>
    </rPh>
    <rPh sb="7" eb="9">
      <t>シハラ</t>
    </rPh>
    <rPh sb="9" eb="11">
      <t>リソク</t>
    </rPh>
    <rPh sb="12" eb="13">
      <t>オオ</t>
    </rPh>
    <rPh sb="17" eb="18">
      <t>ブン</t>
    </rPh>
    <rPh sb="18" eb="20">
      <t>ゲンキン</t>
    </rPh>
    <rPh sb="21" eb="23">
      <t>メベ</t>
    </rPh>
    <phoneticPr fontId="3"/>
  </si>
  <si>
    <t>NPVの出題</t>
    <rPh sb="4" eb="6">
      <t>シュツダイ</t>
    </rPh>
    <phoneticPr fontId="3"/>
  </si>
  <si>
    <t>DCF出題</t>
    <rPh sb="3" eb="5">
      <t>シュツダイ</t>
    </rPh>
    <phoneticPr fontId="3"/>
  </si>
  <si>
    <t>一企業全体の話題</t>
    <rPh sb="0" eb="1">
      <t>イチ</t>
    </rPh>
    <rPh sb="1" eb="3">
      <t>キギョウ</t>
    </rPh>
    <rPh sb="3" eb="5">
      <t>ゼンタイ</t>
    </rPh>
    <rPh sb="6" eb="8">
      <t>ワダイ</t>
    </rPh>
    <phoneticPr fontId="3"/>
  </si>
  <si>
    <t>企業の中のあるプロジェクトの話題</t>
    <rPh sb="0" eb="2">
      <t>キギョウ</t>
    </rPh>
    <rPh sb="3" eb="4">
      <t>ナカ</t>
    </rPh>
    <rPh sb="14" eb="16">
      <t>ワダイ</t>
    </rPh>
    <phoneticPr fontId="3"/>
  </si>
  <si>
    <t>第2問</t>
    <rPh sb="0" eb="1">
      <t>ダイ</t>
    </rPh>
    <rPh sb="2" eb="3">
      <t>モン</t>
    </rPh>
    <phoneticPr fontId="3"/>
  </si>
  <si>
    <t>CF計算書(直接法)＋資金繰り ※難問</t>
    <rPh sb="2" eb="5">
      <t>ケイサンショ</t>
    </rPh>
    <rPh sb="6" eb="8">
      <t>チョクセツ</t>
    </rPh>
    <rPh sb="8" eb="9">
      <t>ホウ</t>
    </rPh>
    <rPh sb="11" eb="13">
      <t>シキン</t>
    </rPh>
    <rPh sb="13" eb="14">
      <t>グ</t>
    </rPh>
    <rPh sb="17" eb="19">
      <t>ナンモン</t>
    </rPh>
    <phoneticPr fontId="3"/>
  </si>
  <si>
    <r>
      <t>・当問は、一見｢設備投資の経済性計算(NPV)｣の問題にも思えるが、｢現価係数表がない｣｢</t>
    </r>
    <r>
      <rPr>
        <b/>
        <u/>
        <sz val="10"/>
        <color rgb="FF3F3F3F"/>
        <rFont val="游ゴシック"/>
        <family val="3"/>
        <charset val="128"/>
        <scheme val="minor"/>
      </rPr>
      <t>営業</t>
    </r>
    <r>
      <rPr>
        <b/>
        <sz val="10"/>
        <color rgb="FF3F3F3F"/>
        <rFont val="游ゴシック"/>
        <family val="2"/>
        <charset val="128"/>
        <scheme val="minor"/>
      </rPr>
      <t>キャッシュ・フロー｣が示す通り、CF計算書の問題。かつ直接法であり｢資金繰り｣まで問うため、本番対応としては一部部分点を除き、捨て問。</t>
    </r>
    <rPh sb="1" eb="2">
      <t>トウ</t>
    </rPh>
    <rPh sb="2" eb="3">
      <t>モン</t>
    </rPh>
    <rPh sb="5" eb="7">
      <t>イッケン</t>
    </rPh>
    <rPh sb="8" eb="10">
      <t>セツビ</t>
    </rPh>
    <rPh sb="10" eb="12">
      <t>トウシ</t>
    </rPh>
    <rPh sb="13" eb="16">
      <t>ケイザイセイ</t>
    </rPh>
    <rPh sb="16" eb="18">
      <t>ケイサン</t>
    </rPh>
    <rPh sb="25" eb="27">
      <t>モンダイ</t>
    </rPh>
    <rPh sb="29" eb="30">
      <t>オモ</t>
    </rPh>
    <rPh sb="35" eb="37">
      <t>ゲンカ</t>
    </rPh>
    <rPh sb="37" eb="39">
      <t>ケイスウ</t>
    </rPh>
    <rPh sb="39" eb="40">
      <t>ヒョウ</t>
    </rPh>
    <rPh sb="45" eb="47">
      <t>エイギョウ</t>
    </rPh>
    <rPh sb="58" eb="59">
      <t>シメ</t>
    </rPh>
    <rPh sb="60" eb="61">
      <t>トオ</t>
    </rPh>
    <rPh sb="65" eb="68">
      <t>ケイサンショ</t>
    </rPh>
    <rPh sb="69" eb="71">
      <t>モンダイ</t>
    </rPh>
    <rPh sb="74" eb="76">
      <t>チョクセツ</t>
    </rPh>
    <rPh sb="76" eb="77">
      <t>ホウ</t>
    </rPh>
    <rPh sb="81" eb="83">
      <t>シキン</t>
    </rPh>
    <rPh sb="83" eb="84">
      <t>グ</t>
    </rPh>
    <rPh sb="88" eb="89">
      <t>ト</t>
    </rPh>
    <rPh sb="93" eb="95">
      <t>ホンバン</t>
    </rPh>
    <rPh sb="95" eb="97">
      <t>タイオウ</t>
    </rPh>
    <rPh sb="101" eb="103">
      <t>イチブ</t>
    </rPh>
    <rPh sb="103" eb="106">
      <t>ブブンテン</t>
    </rPh>
    <rPh sb="107" eb="108">
      <t>ノゾ</t>
    </rPh>
    <rPh sb="110" eb="111">
      <t>ス</t>
    </rPh>
    <rPh sb="112" eb="113">
      <t>モン</t>
    </rPh>
    <phoneticPr fontId="3"/>
  </si>
  <si>
    <t>・CF計算書の出題でありながら、｢最初に設備投資｣｢減価償却費の変動(200%定率法)｣｢タイムテーブル｣と出題し、NPVとごっちゃにしやすい。計算が非常に煩雑になり、ついその勢いでNPVまで難しく考えたら、今後の｢Ⅳ｣はOUT。</t>
    <rPh sb="3" eb="6">
      <t>ケイサンショ</t>
    </rPh>
    <rPh sb="7" eb="9">
      <t>シュツダイ</t>
    </rPh>
    <rPh sb="17" eb="19">
      <t>サイショ</t>
    </rPh>
    <rPh sb="20" eb="22">
      <t>セツビ</t>
    </rPh>
    <rPh sb="22" eb="24">
      <t>トウシ</t>
    </rPh>
    <rPh sb="26" eb="28">
      <t>ゲンカ</t>
    </rPh>
    <rPh sb="28" eb="30">
      <t>ショウキャク</t>
    </rPh>
    <rPh sb="30" eb="31">
      <t>ヒ</t>
    </rPh>
    <rPh sb="32" eb="34">
      <t>ヘンドウ</t>
    </rPh>
    <rPh sb="39" eb="42">
      <t>テイリツホウ</t>
    </rPh>
    <rPh sb="54" eb="56">
      <t>シュツダイ</t>
    </rPh>
    <rPh sb="72" eb="74">
      <t>ケイサン</t>
    </rPh>
    <rPh sb="75" eb="77">
      <t>ヒジョウ</t>
    </rPh>
    <rPh sb="78" eb="80">
      <t>ハンザツ</t>
    </rPh>
    <rPh sb="88" eb="89">
      <t>イキオ</t>
    </rPh>
    <rPh sb="96" eb="97">
      <t>ムズカ</t>
    </rPh>
    <rPh sb="99" eb="100">
      <t>カンガ</t>
    </rPh>
    <rPh sb="104" eb="106">
      <t>コンゴ</t>
    </rPh>
    <phoneticPr fontId="3"/>
  </si>
  <si>
    <t>・見分け方として、①一企業全体を問う＝｢CF計算書｣｢営業CF｣｢企業価値、FCF｣ ②設備投資の意思決定＝｢税引後CF、正味CF｣。②の解き方は3ステップの定番なので、①をまぜてわざわざ難しくしない。</t>
    <rPh sb="1" eb="3">
      <t>ミワ</t>
    </rPh>
    <rPh sb="4" eb="5">
      <t>カタ</t>
    </rPh>
    <rPh sb="10" eb="11">
      <t>イチ</t>
    </rPh>
    <rPh sb="11" eb="13">
      <t>キギョウ</t>
    </rPh>
    <rPh sb="13" eb="15">
      <t>ゼンタイ</t>
    </rPh>
    <rPh sb="16" eb="17">
      <t>ト</t>
    </rPh>
    <rPh sb="22" eb="25">
      <t>ケイサンショ</t>
    </rPh>
    <rPh sb="27" eb="29">
      <t>エイギョウ</t>
    </rPh>
    <rPh sb="33" eb="35">
      <t>キギョウ</t>
    </rPh>
    <rPh sb="35" eb="37">
      <t>カチ</t>
    </rPh>
    <rPh sb="44" eb="46">
      <t>セツビ</t>
    </rPh>
    <rPh sb="46" eb="48">
      <t>トウシ</t>
    </rPh>
    <rPh sb="49" eb="51">
      <t>イシ</t>
    </rPh>
    <rPh sb="51" eb="53">
      <t>ケッテイ</t>
    </rPh>
    <rPh sb="55" eb="57">
      <t>ゼイビキ</t>
    </rPh>
    <rPh sb="57" eb="58">
      <t>ゴ</t>
    </rPh>
    <rPh sb="61" eb="63">
      <t>ショウミ</t>
    </rPh>
    <rPh sb="69" eb="70">
      <t>ト</t>
    </rPh>
    <rPh sb="71" eb="72">
      <t>カタ</t>
    </rPh>
    <rPh sb="79" eb="81">
      <t>テイバン</t>
    </rPh>
    <rPh sb="94" eb="95">
      <t>ムズカ</t>
    </rPh>
    <phoneticPr fontId="3"/>
  </si>
  <si>
    <t>(第3問) ｢財務指標以外｣のため、知識解答で幅広く加点されそう。資金繰り、地方公共団体との連携、金融機関や合弁先との関係など。ここは受験校解答待ちで。</t>
    <rPh sb="1" eb="2">
      <t>ダイ</t>
    </rPh>
    <rPh sb="3" eb="4">
      <t>モン</t>
    </rPh>
    <rPh sb="7" eb="9">
      <t>ザイム</t>
    </rPh>
    <rPh sb="9" eb="11">
      <t>シヒョウ</t>
    </rPh>
    <rPh sb="11" eb="13">
      <t>イガイ</t>
    </rPh>
    <rPh sb="18" eb="20">
      <t>チシキ</t>
    </rPh>
    <rPh sb="20" eb="22">
      <t>カイトウ</t>
    </rPh>
    <rPh sb="23" eb="25">
      <t>ハバヒロ</t>
    </rPh>
    <rPh sb="26" eb="28">
      <t>カテン</t>
    </rPh>
    <rPh sb="33" eb="35">
      <t>シキン</t>
    </rPh>
    <rPh sb="35" eb="36">
      <t>グ</t>
    </rPh>
    <rPh sb="38" eb="40">
      <t>チホウ</t>
    </rPh>
    <rPh sb="40" eb="42">
      <t>コウキョウ</t>
    </rPh>
    <rPh sb="42" eb="44">
      <t>ダンタイ</t>
    </rPh>
    <rPh sb="46" eb="48">
      <t>レンケイ</t>
    </rPh>
    <rPh sb="49" eb="51">
      <t>キンユウ</t>
    </rPh>
    <rPh sb="51" eb="53">
      <t>キカン</t>
    </rPh>
    <rPh sb="54" eb="56">
      <t>ゴウベン</t>
    </rPh>
    <rPh sb="56" eb="57">
      <t>サキ</t>
    </rPh>
    <rPh sb="59" eb="61">
      <t>カンケイ</t>
    </rPh>
    <rPh sb="67" eb="70">
      <t>ジュケンコウ</t>
    </rPh>
    <rPh sb="70" eb="72">
      <t>カイトウ</t>
    </rPh>
    <rPh sb="72" eb="73">
      <t>マ</t>
    </rPh>
    <phoneticPr fontId="3"/>
  </si>
  <si>
    <t>(第2問) 連結した場合の経営指標の説明。銀行借入1,200百万円により負債比率が悪化。</t>
    <rPh sb="1" eb="2">
      <t>ダイ</t>
    </rPh>
    <rPh sb="3" eb="4">
      <t>モン</t>
    </rPh>
    <rPh sb="6" eb="8">
      <t>レンケツ</t>
    </rPh>
    <rPh sb="10" eb="12">
      <t>バアイ</t>
    </rPh>
    <rPh sb="13" eb="15">
      <t>ケイエイ</t>
    </rPh>
    <rPh sb="15" eb="17">
      <t>シヒョウ</t>
    </rPh>
    <rPh sb="18" eb="20">
      <t>セツメイ</t>
    </rPh>
    <rPh sb="21" eb="23">
      <t>ギンコウ</t>
    </rPh>
    <rPh sb="23" eb="25">
      <t>カリイレ</t>
    </rPh>
    <rPh sb="30" eb="33">
      <t>ヒャクマンエン</t>
    </rPh>
    <rPh sb="36" eb="38">
      <t>フサイ</t>
    </rPh>
    <rPh sb="38" eb="40">
      <t>ヒリツ</t>
    </rPh>
    <rPh sb="41" eb="43">
      <t>アッカ</t>
    </rPh>
    <phoneticPr fontId="3"/>
  </si>
  <si>
    <t>(第1問) 単体PLの説明30字。特損計上はあるものの、単体の収益は堅調。</t>
    <rPh sb="1" eb="2">
      <t>ダイ</t>
    </rPh>
    <rPh sb="3" eb="4">
      <t>モン</t>
    </rPh>
    <rPh sb="6" eb="8">
      <t>タンタイ</t>
    </rPh>
    <rPh sb="11" eb="13">
      <t>セツメイ</t>
    </rPh>
    <rPh sb="15" eb="16">
      <t>ジ</t>
    </rPh>
    <rPh sb="17" eb="19">
      <t>トクソン</t>
    </rPh>
    <rPh sb="19" eb="21">
      <t>ケイジョウ</t>
    </rPh>
    <rPh sb="28" eb="30">
      <t>タンタイ</t>
    </rPh>
    <rPh sb="31" eb="33">
      <t>シュウエキ</t>
    </rPh>
    <rPh sb="34" eb="36">
      <t>ケンチョウ</t>
    </rPh>
    <phoneticPr fontId="3"/>
  </si>
  <si>
    <t>企業結合、連結会計の知識問題</t>
    <rPh sb="0" eb="2">
      <t>キギョウ</t>
    </rPh>
    <rPh sb="2" eb="4">
      <t>ケツゴウ</t>
    </rPh>
    <rPh sb="5" eb="7">
      <t>レンケツ</t>
    </rPh>
    <rPh sb="7" eb="9">
      <t>カイケイ</t>
    </rPh>
    <rPh sb="10" eb="12">
      <t>チシキ</t>
    </rPh>
    <rPh sb="12" eb="14">
      <t>モンダイ</t>
    </rPh>
    <phoneticPr fontId="3"/>
  </si>
  <si>
    <t>第XI年度末の差額CF</t>
    <rPh sb="0" eb="1">
      <t>ダイ</t>
    </rPh>
    <rPh sb="3" eb="6">
      <t>ネンドマツ</t>
    </rPh>
    <rPh sb="7" eb="9">
      <t>サガク</t>
    </rPh>
    <phoneticPr fontId="3"/>
  </si>
  <si>
    <t>非現金支出項目の差</t>
    <rPh sb="0" eb="1">
      <t>ヒ</t>
    </rPh>
    <rPh sb="1" eb="3">
      <t>ゲンキン</t>
    </rPh>
    <rPh sb="3" eb="5">
      <t>シシュツ</t>
    </rPh>
    <rPh sb="5" eb="7">
      <t>コウモク</t>
    </rPh>
    <rPh sb="8" eb="9">
      <t>サ</t>
    </rPh>
    <phoneticPr fontId="3"/>
  </si>
  <si>
    <t>税引後利益の差</t>
    <rPh sb="0" eb="2">
      <t>ゼイビ</t>
    </rPh>
    <rPh sb="2" eb="3">
      <t>ゴ</t>
    </rPh>
    <rPh sb="3" eb="5">
      <t>リエキ</t>
    </rPh>
    <rPh sb="6" eb="7">
      <t>サ</t>
    </rPh>
    <phoneticPr fontId="3"/>
  </si>
  <si>
    <t>税金支出の差</t>
    <rPh sb="0" eb="2">
      <t>ゼイキン</t>
    </rPh>
    <rPh sb="2" eb="4">
      <t>シシュツ</t>
    </rPh>
    <rPh sb="5" eb="6">
      <t>サ</t>
    </rPh>
    <phoneticPr fontId="3"/>
  </si>
  <si>
    <t>税引前利益の差</t>
    <rPh sb="0" eb="2">
      <t>ゼイビ</t>
    </rPh>
    <rPh sb="2" eb="3">
      <t>マエ</t>
    </rPh>
    <rPh sb="3" eb="5">
      <t>リエキ</t>
    </rPh>
    <rPh sb="6" eb="7">
      <t>サ</t>
    </rPh>
    <phoneticPr fontId="3"/>
  </si>
  <si>
    <t>第X1年度末における差額CF</t>
    <rPh sb="0" eb="1">
      <t>ダイ</t>
    </rPh>
    <rPh sb="3" eb="5">
      <t>ネンド</t>
    </rPh>
    <rPh sb="5" eb="6">
      <t>マツ</t>
    </rPh>
    <rPh sb="10" eb="12">
      <t>サガク</t>
    </rPh>
    <phoneticPr fontId="3"/>
  </si>
  <si>
    <t>←X2~X5は同額なので、先に合計してショートカットできる</t>
    <rPh sb="7" eb="9">
      <t>ドウガク</t>
    </rPh>
    <rPh sb="13" eb="14">
      <t>サキ</t>
    </rPh>
    <rPh sb="15" eb="17">
      <t>ゴウケイ</t>
    </rPh>
    <phoneticPr fontId="3"/>
  </si>
  <si>
    <t>※安全性指標は別途。</t>
    <rPh sb="1" eb="4">
      <t>アンゼンセイ</t>
    </rPh>
    <rPh sb="4" eb="6">
      <t>シヒョウ</t>
    </rPh>
    <rPh sb="7" eb="9">
      <t>ベット</t>
    </rPh>
    <phoneticPr fontId="3"/>
  </si>
  <si>
    <t>NPVがプラスのため、当取替投資案を採用する。</t>
    <rPh sb="11" eb="12">
      <t>トウ</t>
    </rPh>
    <rPh sb="12" eb="14">
      <t>トリカエ</t>
    </rPh>
    <rPh sb="14" eb="16">
      <t>トウシ</t>
    </rPh>
    <rPh sb="16" eb="17">
      <t>アン</t>
    </rPh>
    <rPh sb="18" eb="20">
      <t>サイヨウ</t>
    </rPh>
    <phoneticPr fontId="3"/>
  </si>
  <si>
    <t>差額CF計</t>
    <rPh sb="0" eb="2">
      <t>サガク</t>
    </rPh>
    <rPh sb="4" eb="5">
      <t>ケイ</t>
    </rPh>
    <phoneticPr fontId="3"/>
  </si>
  <si>
    <t>税引後CIF</t>
    <rPh sb="0" eb="2">
      <t>ゼイビ</t>
    </rPh>
    <rPh sb="2" eb="3">
      <t>ゴ</t>
    </rPh>
    <phoneticPr fontId="3"/>
  </si>
  <si>
    <t>旧設備除却費用</t>
    <rPh sb="0" eb="3">
      <t>キュウセツビ</t>
    </rPh>
    <rPh sb="3" eb="5">
      <t>ジョキャク</t>
    </rPh>
    <rPh sb="5" eb="7">
      <t>ヒヨウ</t>
    </rPh>
    <phoneticPr fontId="3"/>
  </si>
  <si>
    <t>新設備購入</t>
    <rPh sb="0" eb="3">
      <t>シンセツビ</t>
    </rPh>
    <rPh sb="3" eb="5">
      <t>コウニュウ</t>
    </rPh>
    <phoneticPr fontId="3"/>
  </si>
  <si>
    <t>X5</t>
  </si>
  <si>
    <t>X4</t>
  </si>
  <si>
    <t>X3</t>
  </si>
  <si>
    <t>X2</t>
  </si>
  <si>
    <t>②-①差額CFの計算</t>
    <rPh sb="3" eb="5">
      <t>サガク</t>
    </rPh>
    <rPh sb="8" eb="10">
      <t>ケイサン</t>
    </rPh>
    <phoneticPr fontId="3"/>
  </si>
  <si>
    <t>〃 TS</t>
    <phoneticPr fontId="3"/>
  </si>
  <si>
    <t>設備処分支出</t>
    <rPh sb="0" eb="2">
      <t>セツビ</t>
    </rPh>
    <rPh sb="2" eb="4">
      <t>ショブン</t>
    </rPh>
    <rPh sb="4" eb="6">
      <t>シシュツ</t>
    </rPh>
    <phoneticPr fontId="3"/>
  </si>
  <si>
    <t>税引後CIF(ボックスから)</t>
    <rPh sb="0" eb="2">
      <t>ゼイビ</t>
    </rPh>
    <rPh sb="2" eb="3">
      <t>ゴ</t>
    </rPh>
    <phoneticPr fontId="3"/>
  </si>
  <si>
    <t>費用</t>
    <rPh sb="0" eb="2">
      <t>ヒヨウ</t>
    </rPh>
    <phoneticPr fontId="3"/>
  </si>
  <si>
    <t>収入</t>
    <rPh sb="0" eb="2">
      <t>シュウニュウ</t>
    </rPh>
    <phoneticPr fontId="3"/>
  </si>
  <si>
    <t>旧設備除却損</t>
    <rPh sb="0" eb="3">
      <t>キュウセツビ</t>
    </rPh>
    <rPh sb="3" eb="5">
      <t>ジョキャク</t>
    </rPh>
    <rPh sb="5" eb="6">
      <t>ソン</t>
    </rPh>
    <phoneticPr fontId="3"/>
  </si>
  <si>
    <t>税引後利益</t>
    <rPh sb="0" eb="2">
      <t>ゼイビキ</t>
    </rPh>
    <rPh sb="2" eb="3">
      <t>ゴ</t>
    </rPh>
    <rPh sb="3" eb="5">
      <t>リエキ</t>
    </rPh>
    <phoneticPr fontId="3"/>
  </si>
  <si>
    <t>利益</t>
    <rPh sb="0" eb="2">
      <t>リエキエイリ</t>
    </rPh>
    <phoneticPr fontId="3"/>
  </si>
  <si>
    <t>②新設備のCF</t>
    <rPh sb="1" eb="4">
      <t>シンセツビ</t>
    </rPh>
    <phoneticPr fontId="3"/>
  </si>
  <si>
    <t>期首簿価</t>
    <rPh sb="0" eb="2">
      <t>キシュ</t>
    </rPh>
    <rPh sb="2" eb="4">
      <t>ボカ</t>
    </rPh>
    <phoneticPr fontId="3"/>
  </si>
  <si>
    <t>税引後CIFボックス</t>
    <rPh sb="0" eb="2">
      <t>ゼイビキ</t>
    </rPh>
    <rPh sb="2" eb="3">
      <t>ゴ</t>
    </rPh>
    <phoneticPr fontId="3"/>
  </si>
  <si>
    <t>①旧設備でのCF</t>
    <rPh sb="1" eb="4">
      <t>キュウセツビ</t>
    </rPh>
    <phoneticPr fontId="3"/>
  </si>
  <si>
    <t>(設問2)では、その差額CIFを使いNPVを求める。</t>
    <rPh sb="1" eb="3">
      <t>セツモン</t>
    </rPh>
    <rPh sb="10" eb="12">
      <t>サガク</t>
    </rPh>
    <rPh sb="16" eb="17">
      <t>ツカ</t>
    </rPh>
    <rPh sb="22" eb="23">
      <t>モト</t>
    </rPh>
    <phoneticPr fontId="3"/>
  </si>
  <si>
    <t>(設問1)では、取替投資の｢差額CIF｣を求め、</t>
    <rPh sb="1" eb="3">
      <t>セツモン</t>
    </rPh>
    <rPh sb="8" eb="10">
      <t>トリカエ</t>
    </rPh>
    <rPh sb="10" eb="12">
      <t>トウシ</t>
    </rPh>
    <rPh sb="14" eb="16">
      <t>サガク</t>
    </rPh>
    <rPh sb="21" eb="22">
      <t>モト</t>
    </rPh>
    <phoneticPr fontId="3"/>
  </si>
  <si>
    <t>取替投資のNPV</t>
    <rPh sb="0" eb="2">
      <t>トリカエ</t>
    </rPh>
    <rPh sb="2" eb="4">
      <t>トウシ</t>
    </rPh>
    <phoneticPr fontId="3"/>
  </si>
  <si>
    <t>固定費F</t>
    <rPh sb="0" eb="3">
      <t>コテイヒ</t>
    </rPh>
    <phoneticPr fontId="3"/>
  </si>
  <si>
    <t>変動製造マージン</t>
    <rPh sb="0" eb="2">
      <t>ヘンドウ</t>
    </rPh>
    <rPh sb="2" eb="4">
      <t>セイゾウ</t>
    </rPh>
    <phoneticPr fontId="3"/>
  </si>
  <si>
    <t>限界利益率(下期)</t>
    <rPh sb="0" eb="2">
      <t>ゲンカイ</t>
    </rPh>
    <rPh sb="2" eb="4">
      <t>リエキ</t>
    </rPh>
    <rPh sb="4" eb="5">
      <t>リツ</t>
    </rPh>
    <rPh sb="6" eb="8">
      <t>シモキ</t>
    </rPh>
    <phoneticPr fontId="3"/>
  </si>
  <si>
    <t>変動費V下期</t>
    <rPh sb="0" eb="2">
      <t>ヘンドウ</t>
    </rPh>
    <rPh sb="2" eb="3">
      <t>ヒ</t>
    </rPh>
    <rPh sb="4" eb="6">
      <t>シモキ</t>
    </rPh>
    <phoneticPr fontId="3"/>
  </si>
  <si>
    <t>変動費V上期</t>
    <rPh sb="0" eb="2">
      <t>ヘンドウ</t>
    </rPh>
    <rPh sb="2" eb="3">
      <t>ヒ</t>
    </rPh>
    <rPh sb="4" eb="6">
      <t>カミキ</t>
    </rPh>
    <phoneticPr fontId="3"/>
  </si>
  <si>
    <t>円/kwhを下回ると営業損失</t>
    <rPh sb="0" eb="1">
      <t>エン</t>
    </rPh>
    <rPh sb="6" eb="8">
      <t>シタマワ</t>
    </rPh>
    <rPh sb="10" eb="12">
      <t>エイギョウ</t>
    </rPh>
    <rPh sb="12" eb="14">
      <t>ソンシツ</t>
    </rPh>
    <phoneticPr fontId="3"/>
  </si>
  <si>
    <t>←売上高÷売電量から逆算</t>
    <rPh sb="1" eb="3">
      <t>ウリアゲ</t>
    </rPh>
    <rPh sb="3" eb="4">
      <t>ダカ</t>
    </rPh>
    <rPh sb="5" eb="7">
      <t>バイデン</t>
    </rPh>
    <rPh sb="7" eb="8">
      <t>リョウ</t>
    </rPh>
    <rPh sb="10" eb="12">
      <t>ギャクサン</t>
    </rPh>
    <phoneticPr fontId="3"/>
  </si>
  <si>
    <t>売上単価</t>
    <rPh sb="0" eb="2">
      <t>ウリアゲ</t>
    </rPh>
    <rPh sb="2" eb="4">
      <t>タンカ</t>
    </rPh>
    <phoneticPr fontId="3"/>
  </si>
  <si>
    <t>売上数量</t>
    <rPh sb="0" eb="2">
      <t>ウリアゲ</t>
    </rPh>
    <rPh sb="2" eb="4">
      <t>スウリョウ</t>
    </rPh>
    <phoneticPr fontId="3"/>
  </si>
  <si>
    <t>①売電量40百万kwh</t>
    <rPh sb="1" eb="3">
      <t>バイデン</t>
    </rPh>
    <rPh sb="3" eb="4">
      <t>リョウ</t>
    </rPh>
    <rPh sb="6" eb="8">
      <t>ヒャクマン</t>
    </rPh>
    <phoneticPr fontId="3"/>
  </si>
  <si>
    <t>来年度予想PL</t>
    <rPh sb="0" eb="3">
      <t>ライネンド</t>
    </rPh>
    <rPh sb="3" eb="5">
      <t>ヨソウ</t>
    </rPh>
    <phoneticPr fontId="3"/>
  </si>
  <si>
    <t>(設問3)再来年度の予想損益＋単価変動分析</t>
    <rPh sb="1" eb="3">
      <t>セツモン</t>
    </rPh>
    <rPh sb="5" eb="8">
      <t>サライネン</t>
    </rPh>
    <rPh sb="8" eb="9">
      <t>ド</t>
    </rPh>
    <rPh sb="10" eb="12">
      <t>ヨソウ</t>
    </rPh>
    <rPh sb="12" eb="14">
      <t>ソンエキ</t>
    </rPh>
    <rPh sb="15" eb="17">
      <t>タンカ</t>
    </rPh>
    <rPh sb="17" eb="19">
      <t>ヘンドウ</t>
    </rPh>
    <rPh sb="19" eb="21">
      <t>ブンセキ</t>
    </rPh>
    <phoneticPr fontId="3"/>
  </si>
  <si>
    <t>(設問2)発電事業のCVP</t>
    <rPh sb="1" eb="3">
      <t>セツモン</t>
    </rPh>
    <rPh sb="5" eb="7">
      <t>ハツデン</t>
    </rPh>
    <rPh sb="7" eb="9">
      <t>ジギョウ</t>
    </rPh>
    <phoneticPr fontId="3"/>
  </si>
  <si>
    <t>固定費100削減</t>
    <rPh sb="0" eb="3">
      <t>コテイヒ</t>
    </rPh>
    <rPh sb="6" eb="8">
      <t>サクゲン</t>
    </rPh>
    <phoneticPr fontId="3"/>
  </si>
  <si>
    <t>変動費5%UP</t>
    <rPh sb="0" eb="2">
      <t>ヘンドウ</t>
    </rPh>
    <rPh sb="2" eb="3">
      <t>ヒ</t>
    </rPh>
    <phoneticPr fontId="3"/>
  </si>
  <si>
    <t>6割の価格3%UP</t>
    <rPh sb="1" eb="2">
      <t>ワリ</t>
    </rPh>
    <rPh sb="3" eb="5">
      <t>カカク</t>
    </rPh>
    <phoneticPr fontId="3"/>
  </si>
  <si>
    <t>感度分析要素</t>
    <rPh sb="0" eb="2">
      <t>カンド</t>
    </rPh>
    <rPh sb="2" eb="4">
      <t>ブンセキ</t>
    </rPh>
    <rPh sb="4" eb="6">
      <t>ヨウソ</t>
    </rPh>
    <phoneticPr fontId="3"/>
  </si>
  <si>
    <t>当期PL</t>
    <rPh sb="0" eb="2">
      <t>トウキ</t>
    </rPh>
    <phoneticPr fontId="3"/>
  </si>
  <si>
    <t>(設問1)染色事業の予想PL作成</t>
    <rPh sb="1" eb="3">
      <t>セツモン</t>
    </rPh>
    <rPh sb="5" eb="7">
      <t>センショク</t>
    </rPh>
    <rPh sb="7" eb="9">
      <t>ジギョウ</t>
    </rPh>
    <rPh sb="10" eb="12">
      <t>ヨソウ</t>
    </rPh>
    <rPh sb="14" eb="16">
      <t>サクセイ</t>
    </rPh>
    <phoneticPr fontId="3"/>
  </si>
  <si>
    <t>結果として、CVP分析の問題を直接原価計算PL＋感度分析の形で解きなれていれば、(設問3)まで完答したい問題。</t>
    <rPh sb="0" eb="2">
      <t>ケッカ</t>
    </rPh>
    <rPh sb="9" eb="11">
      <t>ブンセキ</t>
    </rPh>
    <rPh sb="12" eb="14">
      <t>モンダイ</t>
    </rPh>
    <rPh sb="15" eb="17">
      <t>チョクセツ</t>
    </rPh>
    <rPh sb="17" eb="19">
      <t>ゲンカ</t>
    </rPh>
    <rPh sb="19" eb="21">
      <t>ケイサン</t>
    </rPh>
    <rPh sb="24" eb="26">
      <t>カンド</t>
    </rPh>
    <rPh sb="26" eb="28">
      <t>ブンセキ</t>
    </rPh>
    <rPh sb="29" eb="30">
      <t>カタチ</t>
    </rPh>
    <rPh sb="31" eb="32">
      <t>ト</t>
    </rPh>
    <rPh sb="41" eb="43">
      <t>セツモン</t>
    </rPh>
    <rPh sb="47" eb="49">
      <t>カントウ</t>
    </rPh>
    <rPh sb="52" eb="54">
      <t>モンダイ</t>
    </rPh>
    <phoneticPr fontId="3"/>
  </si>
  <si>
    <t>(設問2)(設問3)は発電事業のCVPに関する問で、別の問題として切り分けて解いてOK。</t>
    <rPh sb="1" eb="3">
      <t>セツモン</t>
    </rPh>
    <rPh sb="6" eb="8">
      <t>セツモン</t>
    </rPh>
    <rPh sb="11" eb="13">
      <t>ハツデン</t>
    </rPh>
    <rPh sb="13" eb="15">
      <t>ジギョウ</t>
    </rPh>
    <rPh sb="20" eb="21">
      <t>カン</t>
    </rPh>
    <rPh sb="23" eb="24">
      <t>トイ</t>
    </rPh>
    <rPh sb="26" eb="27">
      <t>ベツ</t>
    </rPh>
    <rPh sb="28" eb="30">
      <t>モンダイ</t>
    </rPh>
    <rPh sb="33" eb="34">
      <t>キ</t>
    </rPh>
    <rPh sb="35" eb="36">
      <t>ワ</t>
    </rPh>
    <rPh sb="38" eb="39">
      <t>ト</t>
    </rPh>
    <phoneticPr fontId="3"/>
  </si>
  <si>
    <t>(設問1)は染色事業の予想PL作成(感度分析)</t>
    <rPh sb="1" eb="3">
      <t>セツモン</t>
    </rPh>
    <rPh sb="6" eb="8">
      <t>センショク</t>
    </rPh>
    <rPh sb="8" eb="10">
      <t>ジギョウ</t>
    </rPh>
    <rPh sb="11" eb="13">
      <t>ヨソウ</t>
    </rPh>
    <rPh sb="15" eb="17">
      <t>サクセイ</t>
    </rPh>
    <rPh sb="18" eb="20">
      <t>カンド</t>
    </rPh>
    <rPh sb="20" eb="22">
      <t>ブンセキ</t>
    </rPh>
    <phoneticPr fontId="3"/>
  </si>
  <si>
    <t>予想PL作成(直接原価計算、感度分析)</t>
    <rPh sb="0" eb="2">
      <t>ヨソウ</t>
    </rPh>
    <rPh sb="4" eb="6">
      <t>サクセイ</t>
    </rPh>
    <rPh sb="7" eb="9">
      <t>チョクセツ</t>
    </rPh>
    <rPh sb="9" eb="11">
      <t>ゲンカ</t>
    </rPh>
    <rPh sb="11" eb="13">
      <t>ケイサン</t>
    </rPh>
    <rPh sb="14" eb="16">
      <t>カンド</t>
    </rPh>
    <rPh sb="16" eb="18">
      <t>ブンセキ</t>
    </rPh>
    <phoneticPr fontId="3"/>
  </si>
  <si>
    <t>※以下計算は｢速報｣です。各位からのご意見ご指摘、受験校模範解答を踏まえ、修正含みとしてご覧ください。</t>
    <rPh sb="1" eb="3">
      <t>イカ</t>
    </rPh>
    <rPh sb="3" eb="5">
      <t>ケイサン</t>
    </rPh>
    <rPh sb="7" eb="9">
      <t>ソクホウ</t>
    </rPh>
    <rPh sb="13" eb="15">
      <t>カクイ</t>
    </rPh>
    <rPh sb="19" eb="21">
      <t>イケン</t>
    </rPh>
    <rPh sb="22" eb="24">
      <t>シテキ</t>
    </rPh>
    <rPh sb="25" eb="28">
      <t>ジュケンコウ</t>
    </rPh>
    <rPh sb="28" eb="30">
      <t>モハン</t>
    </rPh>
    <rPh sb="30" eb="32">
      <t>カイトウ</t>
    </rPh>
    <rPh sb="33" eb="34">
      <t>フ</t>
    </rPh>
    <rPh sb="37" eb="39">
      <t>シュウセイ</t>
    </rPh>
    <rPh sb="39" eb="40">
      <t>フク</t>
    </rPh>
    <rPh sb="45" eb="46">
      <t>ラン</t>
    </rPh>
    <phoneticPr fontId="3"/>
  </si>
  <si>
    <t>H29年 事例Ⅳ</t>
    <rPh sb="3" eb="4">
      <t>ネン</t>
    </rPh>
    <rPh sb="5" eb="7">
      <t>ジレイ</t>
    </rPh>
    <phoneticPr fontId="3"/>
  </si>
  <si>
    <t>×</t>
    <phoneticPr fontId="3"/>
  </si>
  <si>
    <t>○</t>
    <phoneticPr fontId="3"/>
  </si>
  <si>
    <t>◎</t>
    <phoneticPr fontId="3"/>
  </si>
  <si>
    <t>△第2問</t>
    <rPh sb="1" eb="2">
      <t>ダイ</t>
    </rPh>
    <rPh sb="3" eb="4">
      <t>モン</t>
    </rPh>
    <phoneticPr fontId="3"/>
  </si>
  <si>
    <t>設問1</t>
    <rPh sb="0" eb="2">
      <t>セツモン</t>
    </rPh>
    <phoneticPr fontId="3"/>
  </si>
  <si>
    <t>設問1</t>
    <rPh sb="0" eb="2">
      <t>セツモン</t>
    </rPh>
    <phoneticPr fontId="3"/>
  </si>
  <si>
    <t>H29</t>
    <phoneticPr fontId="3"/>
  </si>
  <si>
    <t>期中売却</t>
    <rPh sb="0" eb="2">
      <t>キチュウ</t>
    </rPh>
    <rPh sb="2" eb="4">
      <t>バイキャク</t>
    </rPh>
    <phoneticPr fontId="3"/>
  </si>
  <si>
    <t>X1期首</t>
    <rPh sb="2" eb="4">
      <t>キシュ</t>
    </rPh>
    <phoneticPr fontId="3"/>
  </si>
  <si>
    <t>X1期末</t>
    <rPh sb="2" eb="4">
      <t>キマツ</t>
    </rPh>
    <phoneticPr fontId="3"/>
  </si>
  <si>
    <t>Cash out</t>
    <phoneticPr fontId="3"/>
  </si>
  <si>
    <t>Cash out</t>
    <phoneticPr fontId="3"/>
  </si>
  <si>
    <t>非現金支出項目</t>
    <rPh sb="0" eb="1">
      <t>ヒ</t>
    </rPh>
    <rPh sb="1" eb="3">
      <t>ゲンキン</t>
    </rPh>
    <rPh sb="3" eb="5">
      <t>シシュツ</t>
    </rPh>
    <rPh sb="5" eb="7">
      <t>コウモク</t>
    </rPh>
    <phoneticPr fontId="3"/>
  </si>
  <si>
    <t>Cash in</t>
    <phoneticPr fontId="3"/>
  </si>
  <si>
    <t>Cash out</t>
    <phoneticPr fontId="3"/>
  </si>
  <si>
    <t>Cash out</t>
    <phoneticPr fontId="3"/>
  </si>
  <si>
    <t>→X1の費用に加算。その後非現金支出項目として戻す。 ★難</t>
    <rPh sb="4" eb="6">
      <t>ヒヨウ</t>
    </rPh>
    <rPh sb="7" eb="9">
      <t>カサン</t>
    </rPh>
    <rPh sb="12" eb="13">
      <t>ゴ</t>
    </rPh>
    <rPh sb="13" eb="14">
      <t>ヒ</t>
    </rPh>
    <rPh sb="14" eb="16">
      <t>ゲンキン</t>
    </rPh>
    <rPh sb="16" eb="18">
      <t>シシュツ</t>
    </rPh>
    <rPh sb="18" eb="20">
      <t>コウモク</t>
    </rPh>
    <rPh sb="23" eb="24">
      <t>モド</t>
    </rPh>
    <rPh sb="28" eb="29">
      <t>ナン</t>
    </rPh>
    <phoneticPr fontId="3"/>
  </si>
  <si>
    <t>→X1の費用に加算。その後非現金支出項目として戻す。 ☆減価償却費と異なり、ここは差額CFに含めない。</t>
    <rPh sb="4" eb="6">
      <t>ヒヨウ</t>
    </rPh>
    <rPh sb="7" eb="9">
      <t>カサン</t>
    </rPh>
    <rPh sb="12" eb="13">
      <t>ゴ</t>
    </rPh>
    <rPh sb="13" eb="14">
      <t>ヒ</t>
    </rPh>
    <rPh sb="14" eb="16">
      <t>ゲンキン</t>
    </rPh>
    <rPh sb="16" eb="18">
      <t>シシュツ</t>
    </rPh>
    <rPh sb="18" eb="20">
      <t>コウモク</t>
    </rPh>
    <rPh sb="23" eb="24">
      <t>モド</t>
    </rPh>
    <rPh sb="28" eb="30">
      <t>ゲンカ</t>
    </rPh>
    <rPh sb="30" eb="32">
      <t>ショウキャク</t>
    </rPh>
    <rPh sb="32" eb="33">
      <t>ヒ</t>
    </rPh>
    <rPh sb="34" eb="35">
      <t>コト</t>
    </rPh>
    <rPh sb="41" eb="43">
      <t>サガク</t>
    </rPh>
    <rPh sb="46" eb="47">
      <t>フク</t>
    </rPh>
    <phoneticPr fontId="3"/>
  </si>
  <si>
    <t>←新旧設備同額なので、差額CFでは考慮しない</t>
    <rPh sb="1" eb="3">
      <t>シンキュウ</t>
    </rPh>
    <rPh sb="3" eb="5">
      <t>セツビ</t>
    </rPh>
    <rPh sb="5" eb="7">
      <t>ドウガク</t>
    </rPh>
    <rPh sb="11" eb="13">
      <t>サガク</t>
    </rPh>
    <rPh sb="17" eb="19">
      <t>コウリョ</t>
    </rPh>
    <phoneticPr fontId="3"/>
  </si>
  <si>
    <t>税引後CIFボックスの差額＋前期売却損TS18戻り</t>
    <rPh sb="0" eb="2">
      <t>ゼイビ</t>
    </rPh>
    <rPh sb="2" eb="3">
      <t>ゴ</t>
    </rPh>
    <rPh sb="11" eb="13">
      <t>サガク</t>
    </rPh>
    <rPh sb="14" eb="16">
      <t>ゼンキ</t>
    </rPh>
    <rPh sb="16" eb="19">
      <t>バイキャクソン</t>
    </rPh>
    <rPh sb="23" eb="24">
      <t>モド</t>
    </rPh>
    <phoneticPr fontId="3"/>
  </si>
  <si>
    <t>税引後CIFボックスの差額(＋40)</t>
    <phoneticPr fontId="3"/>
  </si>
  <si>
    <t>税引後CIFボックスの差額(減価償却費＋30)</t>
    <rPh sb="14" eb="16">
      <t>ゲンカ</t>
    </rPh>
    <rPh sb="16" eb="18">
      <t>ショウキャク</t>
    </rPh>
    <rPh sb="18" eb="19">
      <t>ヒ</t>
    </rPh>
    <phoneticPr fontId="3"/>
  </si>
  <si>
    <t>+旧設備除却損/費用(▲60、X1期首)</t>
    <phoneticPr fontId="3"/>
  </si>
  <si>
    <t>+旧設備除却損/費用の戻り(＋60、X1期首)</t>
    <rPh sb="11" eb="12">
      <t>モド</t>
    </rPh>
    <phoneticPr fontId="3"/>
  </si>
  <si>
    <t>A：単純解答</t>
    <rPh sb="2" eb="4">
      <t>タンジュン</t>
    </rPh>
    <rPh sb="4" eb="6">
      <t>カイトウ</t>
    </rPh>
    <phoneticPr fontId="3"/>
  </si>
  <si>
    <t>B：受験校解答</t>
    <rPh sb="2" eb="4">
      <t>ジュケン</t>
    </rPh>
    <rPh sb="4" eb="5">
      <t>コウ</t>
    </rPh>
    <rPh sb="5" eb="7">
      <t>カイトウ</t>
    </rPh>
    <phoneticPr fontId="3"/>
  </si>
  <si>
    <t xml:space="preserve">   もちろんそちらが正解になるが処理が複雑すぎるため、単純解答(A)でも同じ得点と考えて良い。</t>
    <rPh sb="11" eb="13">
      <t>セイカイ</t>
    </rPh>
    <rPh sb="17" eb="19">
      <t>ショリ</t>
    </rPh>
    <rPh sb="20" eb="22">
      <t>フクザツ</t>
    </rPh>
    <rPh sb="28" eb="30">
      <t>タンジュン</t>
    </rPh>
    <rPh sb="30" eb="32">
      <t>カイトウ</t>
    </rPh>
    <rPh sb="37" eb="38">
      <t>オナ</t>
    </rPh>
    <rPh sb="39" eb="41">
      <t>トクテン</t>
    </rPh>
    <rPh sb="42" eb="43">
      <t>カンガ</t>
    </rPh>
    <rPh sb="45" eb="46">
      <t>ヨ</t>
    </rPh>
    <phoneticPr fontId="3"/>
  </si>
  <si>
    <t>※受験校解答は、｢X1年度末の税引前利益｣を正確に捉え、旧設備除却損/費用▲60を考慮する。</t>
    <rPh sb="1" eb="3">
      <t>ジュケン</t>
    </rPh>
    <rPh sb="3" eb="4">
      <t>コウ</t>
    </rPh>
    <rPh sb="4" eb="6">
      <t>カイトウ</t>
    </rPh>
    <rPh sb="11" eb="14">
      <t>ネンドマツ</t>
    </rPh>
    <rPh sb="15" eb="17">
      <t>ゼイビキ</t>
    </rPh>
    <rPh sb="17" eb="18">
      <t>マエ</t>
    </rPh>
    <rPh sb="18" eb="20">
      <t>リエキ</t>
    </rPh>
    <rPh sb="22" eb="24">
      <t>セイカク</t>
    </rPh>
    <rPh sb="25" eb="26">
      <t>トラ</t>
    </rPh>
    <rPh sb="28" eb="31">
      <t>キュウセツビ</t>
    </rPh>
    <rPh sb="31" eb="33">
      <t>ジョキャク</t>
    </rPh>
    <rPh sb="33" eb="34">
      <t>ソン</t>
    </rPh>
    <rPh sb="35" eb="37">
      <t>ヒヨウ</t>
    </rPh>
    <rPh sb="41" eb="43">
      <t>コウリョ</t>
    </rPh>
    <phoneticPr fontId="3"/>
  </si>
  <si>
    <t>(設問1)の左側解答欄｢第X1年度末の差額CF｣は解き方が割れる難問です。詳細は受験校解説をお使いください。</t>
    <rPh sb="1" eb="3">
      <t>セツモン</t>
    </rPh>
    <rPh sb="6" eb="8">
      <t>ヒダリガワ</t>
    </rPh>
    <rPh sb="8" eb="11">
      <t>カイトウラン</t>
    </rPh>
    <rPh sb="12" eb="13">
      <t>ダイ</t>
    </rPh>
    <rPh sb="15" eb="18">
      <t>ネンドマツ</t>
    </rPh>
    <rPh sb="19" eb="21">
      <t>サガク</t>
    </rPh>
    <rPh sb="25" eb="26">
      <t>ト</t>
    </rPh>
    <rPh sb="27" eb="28">
      <t>カタ</t>
    </rPh>
    <rPh sb="29" eb="30">
      <t>ワ</t>
    </rPh>
    <rPh sb="32" eb="34">
      <t>ナンモン</t>
    </rPh>
    <rPh sb="37" eb="39">
      <t>ショウサイ</t>
    </rPh>
    <rPh sb="40" eb="43">
      <t>ジュケンコウ</t>
    </rPh>
    <rPh sb="43" eb="45">
      <t>カイセツ</t>
    </rPh>
    <rPh sb="47" eb="48">
      <t>ツカ</t>
    </rPh>
    <phoneticPr fontId="3"/>
  </si>
  <si>
    <r>
      <t>｢取替投資→差額CFを求めタイムテーブル｣とピンとくる方以外には難問です。また</t>
    </r>
    <r>
      <rPr>
        <b/>
        <sz val="10"/>
        <color rgb="FFFF0000"/>
        <rFont val="游ゴシック"/>
        <family val="3"/>
        <charset val="128"/>
        <scheme val="minor"/>
      </rPr>
      <t>(設問1)左側解答欄は至難です</t>
    </r>
    <r>
      <rPr>
        <b/>
        <sz val="10"/>
        <color rgb="FF3F3F3F"/>
        <rFont val="游ゴシック"/>
        <family val="2"/>
        <charset val="128"/>
        <scheme val="minor"/>
      </rPr>
      <t>ので、①右側、各年度の差額CFを求める→②(設問2)のNPV、回収期間を計算を優先しましょう。</t>
    </r>
    <rPh sb="1" eb="3">
      <t>トリカ</t>
    </rPh>
    <rPh sb="3" eb="5">
      <t>トウシ</t>
    </rPh>
    <rPh sb="6" eb="8">
      <t>サガク</t>
    </rPh>
    <rPh sb="11" eb="12">
      <t>モト</t>
    </rPh>
    <rPh sb="27" eb="28">
      <t>カタ</t>
    </rPh>
    <rPh sb="28" eb="30">
      <t>イガイ</t>
    </rPh>
    <rPh sb="32" eb="34">
      <t>ナンモン</t>
    </rPh>
    <rPh sb="40" eb="42">
      <t>セツモン</t>
    </rPh>
    <rPh sb="44" eb="46">
      <t>ヒダリガワ</t>
    </rPh>
    <rPh sb="46" eb="49">
      <t>カイトウラン</t>
    </rPh>
    <rPh sb="50" eb="52">
      <t>シナン</t>
    </rPh>
    <rPh sb="58" eb="60">
      <t>ミギガワ</t>
    </rPh>
    <rPh sb="61" eb="64">
      <t>カクネンド</t>
    </rPh>
    <rPh sb="65" eb="67">
      <t>サガク</t>
    </rPh>
    <rPh sb="70" eb="71">
      <t>モト</t>
    </rPh>
    <rPh sb="76" eb="78">
      <t>セツモン</t>
    </rPh>
    <rPh sb="85" eb="87">
      <t>カイシュウ</t>
    </rPh>
    <rPh sb="87" eb="89">
      <t>キカン</t>
    </rPh>
    <rPh sb="90" eb="92">
      <t>ケイサン</t>
    </rPh>
    <rPh sb="93" eb="95">
      <t>ユウセン</t>
    </rPh>
    <phoneticPr fontId="3"/>
  </si>
  <si>
    <t>資料</t>
    <rPh sb="0" eb="2">
      <t>シリョウ</t>
    </rPh>
    <phoneticPr fontId="3"/>
  </si>
  <si>
    <t>売上高に対する送客手数料比率</t>
    <rPh sb="0" eb="2">
      <t>ウリアゲ</t>
    </rPh>
    <rPh sb="2" eb="3">
      <t>ダカ</t>
    </rPh>
    <rPh sb="4" eb="5">
      <t>タイ</t>
    </rPh>
    <rPh sb="7" eb="9">
      <t>ソウキャク</t>
    </rPh>
    <rPh sb="9" eb="12">
      <t>テスウリョウ</t>
    </rPh>
    <rPh sb="12" eb="14">
      <t>ヒリツ</t>
    </rPh>
    <phoneticPr fontId="3"/>
  </si>
  <si>
    <t>限界利益率</t>
    <rPh sb="0" eb="2">
      <t>ゲンカイ</t>
    </rPh>
    <rPh sb="2" eb="4">
      <t>リエキ</t>
    </rPh>
    <rPh sb="4" eb="5">
      <t>リツ</t>
    </rPh>
    <phoneticPr fontId="3"/>
  </si>
  <si>
    <t>←固定費を減らせば、売上高がここまで減っても黒字を確保</t>
    <rPh sb="1" eb="4">
      <t>コテイヒ</t>
    </rPh>
    <rPh sb="5" eb="6">
      <t>ヘ</t>
    </rPh>
    <rPh sb="10" eb="12">
      <t>ウリアゲ</t>
    </rPh>
    <rPh sb="12" eb="13">
      <t>ダカ</t>
    </rPh>
    <rPh sb="18" eb="19">
      <t>ヘ</t>
    </rPh>
    <rPh sb="22" eb="24">
      <t>クロジ</t>
    </rPh>
    <rPh sb="25" eb="27">
      <t>カクホ</t>
    </rPh>
    <phoneticPr fontId="3"/>
  </si>
  <si>
    <t>CVP分析の出題</t>
    <rPh sb="3" eb="5">
      <t>ブンセキ</t>
    </rPh>
    <rPh sb="6" eb="8">
      <t>シュツダイ</t>
    </rPh>
    <phoneticPr fontId="3"/>
  </si>
  <si>
    <t>H24</t>
    <phoneticPr fontId="3"/>
  </si>
  <si>
    <t>H27</t>
    <phoneticPr fontId="3"/>
  </si>
  <si>
    <t>H28</t>
    <phoneticPr fontId="3"/>
  </si>
  <si>
    <t>H29</t>
    <phoneticPr fontId="3"/>
  </si>
  <si>
    <t>第2問</t>
    <rPh sb="0" eb="1">
      <t>ダイ</t>
    </rPh>
    <rPh sb="2" eb="3">
      <t>モン</t>
    </rPh>
    <phoneticPr fontId="3"/>
  </si>
  <si>
    <t>第4問</t>
    <rPh sb="0" eb="1">
      <t>ダイ</t>
    </rPh>
    <rPh sb="2" eb="3">
      <t>モン</t>
    </rPh>
    <phoneticPr fontId="3"/>
  </si>
  <si>
    <t>出題論点</t>
    <rPh sb="0" eb="2">
      <t>シュツダイ</t>
    </rPh>
    <rPh sb="2" eb="4">
      <t>ロンテン</t>
    </rPh>
    <phoneticPr fontId="3"/>
  </si>
  <si>
    <t>予想PL作成</t>
    <rPh sb="0" eb="2">
      <t>ヨソウ</t>
    </rPh>
    <rPh sb="4" eb="6">
      <t>サクセイ</t>
    </rPh>
    <phoneticPr fontId="3"/>
  </si>
  <si>
    <r>
      <t>S</t>
    </r>
    <r>
      <rPr>
        <vertAlign val="subscript"/>
        <sz val="10"/>
        <color theme="1"/>
        <rFont val="游ゴシック"/>
        <family val="3"/>
        <charset val="128"/>
        <scheme val="minor"/>
      </rPr>
      <t>BEP</t>
    </r>
    <r>
      <rPr>
        <sz val="10"/>
        <color theme="1"/>
        <rFont val="游ゴシック"/>
        <family val="2"/>
        <charset val="128"/>
        <scheme val="minor"/>
      </rPr>
      <t>計算</t>
    </r>
    <rPh sb="4" eb="6">
      <t>ケイサン</t>
    </rPh>
    <phoneticPr fontId="3"/>
  </si>
  <si>
    <t>安全余裕率</t>
    <rPh sb="0" eb="2">
      <t>アンゼン</t>
    </rPh>
    <rPh sb="2" eb="4">
      <t>ヨユウ</t>
    </rPh>
    <rPh sb="4" eb="5">
      <t>リツ</t>
    </rPh>
    <phoneticPr fontId="3"/>
  </si>
  <si>
    <t>目標利益</t>
    <rPh sb="0" eb="2">
      <t>モクヒョウ</t>
    </rPh>
    <rPh sb="2" eb="4">
      <t>リエキ</t>
    </rPh>
    <phoneticPr fontId="3"/>
  </si>
  <si>
    <t>感度分析</t>
    <rPh sb="0" eb="2">
      <t>カンド</t>
    </rPh>
    <rPh sb="2" eb="4">
      <t>ブンセキ</t>
    </rPh>
    <phoneticPr fontId="3"/>
  </si>
  <si>
    <t>(第1問)</t>
    <rPh sb="1" eb="2">
      <t>ダイ</t>
    </rPh>
    <rPh sb="3" eb="4">
      <t>モン</t>
    </rPh>
    <phoneticPr fontId="3"/>
  </si>
  <si>
    <t>○</t>
    <phoneticPr fontId="3"/>
  </si>
  <si>
    <t>(設問2)</t>
    <rPh sb="1" eb="3">
      <t>セツモン</t>
    </rPh>
    <phoneticPr fontId="3"/>
  </si>
  <si>
    <t>C</t>
    <phoneticPr fontId="3"/>
  </si>
  <si>
    <t>D</t>
    <phoneticPr fontId="3"/>
  </si>
  <si>
    <t>(設問3)</t>
    <rPh sb="1" eb="3">
      <t>セツモン</t>
    </rPh>
    <phoneticPr fontId="3"/>
  </si>
  <si>
    <t>(設問3-2)</t>
    <rPh sb="1" eb="3">
      <t>セツモン</t>
    </rPh>
    <phoneticPr fontId="3"/>
  </si>
  <si>
    <t>(設問3-1)</t>
    <rPh sb="1" eb="3">
      <t>セツモン</t>
    </rPh>
    <phoneticPr fontId="3"/>
  </si>
  <si>
    <t>(設問1)</t>
    <rPh sb="1" eb="3">
      <t>セツモン</t>
    </rPh>
    <phoneticPr fontId="3"/>
  </si>
  <si>
    <t>B</t>
    <phoneticPr fontId="3"/>
  </si>
  <si>
    <t xml:space="preserve">  全部/直接原価計算</t>
    <rPh sb="2" eb="4">
      <t>ゼンブ</t>
    </rPh>
    <rPh sb="5" eb="7">
      <t>チョクセツ</t>
    </rPh>
    <rPh sb="7" eb="9">
      <t>ゲンカ</t>
    </rPh>
    <rPh sb="9" eb="11">
      <t>ケイサン</t>
    </rPh>
    <phoneticPr fontId="3"/>
  </si>
  <si>
    <t xml:space="preserve">  固定費調整</t>
    <rPh sb="2" eb="5">
      <t>コテイヒ</t>
    </rPh>
    <rPh sb="5" eb="7">
      <t>チョウセイ</t>
    </rPh>
    <phoneticPr fontId="3"/>
  </si>
  <si>
    <t>CVP分析</t>
    <rPh sb="3" eb="5">
      <t>ブンセキ</t>
    </rPh>
    <phoneticPr fontId="3"/>
  </si>
  <si>
    <t>原価計算</t>
    <rPh sb="0" eb="2">
      <t>ゲンカ</t>
    </rPh>
    <rPh sb="2" eb="4">
      <t>ケイサン</t>
    </rPh>
    <phoneticPr fontId="3"/>
  </si>
  <si>
    <t>全部</t>
    <rPh sb="0" eb="2">
      <t>ゼンブ</t>
    </rPh>
    <phoneticPr fontId="3"/>
  </si>
  <si>
    <t>直接</t>
    <rPh sb="0" eb="2">
      <t>チョクセツ</t>
    </rPh>
    <phoneticPr fontId="3"/>
  </si>
  <si>
    <t>全部原価計算方式の予想PLを作るには、売上原価･販管費を変動⇔固定に分け、あとはCVPの感度分析と同じ手順で計算する。</t>
    <rPh sb="0" eb="2">
      <t>ゼンブ</t>
    </rPh>
    <rPh sb="2" eb="4">
      <t>ゲンカ</t>
    </rPh>
    <rPh sb="4" eb="6">
      <t>ケイサン</t>
    </rPh>
    <rPh sb="6" eb="8">
      <t>ホウシキ</t>
    </rPh>
    <rPh sb="9" eb="11">
      <t>ヨソウ</t>
    </rPh>
    <rPh sb="14" eb="15">
      <t>ツク</t>
    </rPh>
    <rPh sb="19" eb="21">
      <t>ウリアゲ</t>
    </rPh>
    <rPh sb="21" eb="23">
      <t>ゲンカ</t>
    </rPh>
    <rPh sb="24" eb="27">
      <t>ハンカンヒ</t>
    </rPh>
    <rPh sb="28" eb="30">
      <t>ヘンドウ</t>
    </rPh>
    <rPh sb="31" eb="33">
      <t>コテイ</t>
    </rPh>
    <rPh sb="34" eb="35">
      <t>ワ</t>
    </rPh>
    <rPh sb="44" eb="46">
      <t>カンド</t>
    </rPh>
    <rPh sb="46" eb="48">
      <t>ブンセキ</t>
    </rPh>
    <rPh sb="49" eb="50">
      <t>オナ</t>
    </rPh>
    <rPh sb="51" eb="53">
      <t>テジュン</t>
    </rPh>
    <rPh sb="54" eb="56">
      <t>ケイサン</t>
    </rPh>
    <phoneticPr fontId="3"/>
  </si>
  <si>
    <t>H30年 事例Ⅳ</t>
    <rPh sb="3" eb="4">
      <t>ネン</t>
    </rPh>
    <rPh sb="5" eb="7">
      <t>ジレイ</t>
    </rPh>
    <phoneticPr fontId="3"/>
  </si>
  <si>
    <t>第1問</t>
    <rPh sb="0" eb="1">
      <t>ダイ</t>
    </rPh>
    <rPh sb="2" eb="3">
      <t>モン</t>
    </rPh>
    <phoneticPr fontId="3"/>
  </si>
  <si>
    <t>(1)経営分析</t>
    <rPh sb="3" eb="5">
      <t>ケイエイ</t>
    </rPh>
    <rPh sb="5" eb="7">
      <t>ブンセキ</t>
    </rPh>
    <phoneticPr fontId="3"/>
  </si>
  <si>
    <t>(2)財政状態及び経営成績の他社比で良い点＋課題</t>
    <rPh sb="3" eb="5">
      <t>ザイセイ</t>
    </rPh>
    <rPh sb="5" eb="7">
      <t>ジョウタイ</t>
    </rPh>
    <rPh sb="7" eb="8">
      <t>オヨ</t>
    </rPh>
    <rPh sb="9" eb="11">
      <t>ケイエイ</t>
    </rPh>
    <rPh sb="11" eb="13">
      <t>セイセキ</t>
    </rPh>
    <rPh sb="14" eb="16">
      <t>タシャ</t>
    </rPh>
    <rPh sb="16" eb="17">
      <t>ヒ</t>
    </rPh>
    <rPh sb="18" eb="19">
      <t>ヨ</t>
    </rPh>
    <rPh sb="20" eb="21">
      <t>テン</t>
    </rPh>
    <rPh sb="22" eb="24">
      <t>カダイ</t>
    </rPh>
    <phoneticPr fontId="3"/>
  </si>
  <si>
    <t>〇優れている</t>
    <rPh sb="1" eb="2">
      <t>スグ</t>
    </rPh>
    <phoneticPr fontId="3"/>
  </si>
  <si>
    <t>自己資本比率</t>
    <rPh sb="0" eb="2">
      <t>ジコ</t>
    </rPh>
    <rPh sb="2" eb="4">
      <t>シホン</t>
    </rPh>
    <rPh sb="4" eb="6">
      <t>ヒリツ</t>
    </rPh>
    <phoneticPr fontId="3"/>
  </si>
  <si>
    <t>×課題を示す</t>
    <rPh sb="1" eb="3">
      <t>カダイ</t>
    </rPh>
    <rPh sb="4" eb="5">
      <t>シメ</t>
    </rPh>
    <phoneticPr fontId="3"/>
  </si>
  <si>
    <t>売上高営業利益率</t>
    <rPh sb="0" eb="2">
      <t>ウリアゲ</t>
    </rPh>
    <rPh sb="2" eb="3">
      <t>ダカ</t>
    </rPh>
    <rPh sb="3" eb="5">
      <t>エイギョウ</t>
    </rPh>
    <rPh sb="5" eb="7">
      <t>リエキ</t>
    </rPh>
    <rPh sb="7" eb="8">
      <t>リツ</t>
    </rPh>
    <phoneticPr fontId="3"/>
  </si>
  <si>
    <t>有形固定資産回転率</t>
    <rPh sb="0" eb="2">
      <t>ユウケイ</t>
    </rPh>
    <rPh sb="2" eb="4">
      <t>コテイ</t>
    </rPh>
    <rPh sb="4" eb="6">
      <t>シサン</t>
    </rPh>
    <rPh sb="6" eb="8">
      <t>カイテン</t>
    </rPh>
    <rPh sb="8" eb="9">
      <t>リツ</t>
    </rPh>
    <phoneticPr fontId="3"/>
  </si>
  <si>
    <t>(1)</t>
    <phoneticPr fontId="3"/>
  </si>
  <si>
    <t>(2)</t>
    <phoneticPr fontId="3"/>
  </si>
  <si>
    <t>第2問</t>
    <rPh sb="0" eb="1">
      <t>ダイ</t>
    </rPh>
    <rPh sb="2" eb="3">
      <t>モン</t>
    </rPh>
    <phoneticPr fontId="3"/>
  </si>
  <si>
    <t>NPVではなく企業価値の出題。FCF÷WACCで求める。</t>
    <rPh sb="7" eb="9">
      <t>キギョウ</t>
    </rPh>
    <rPh sb="9" eb="11">
      <t>カチ</t>
    </rPh>
    <rPh sb="12" eb="14">
      <t>シュツダイ</t>
    </rPh>
    <rPh sb="24" eb="25">
      <t>モト</t>
    </rPh>
    <phoneticPr fontId="3"/>
  </si>
  <si>
    <t>(設問1)</t>
    <rPh sb="1" eb="3">
      <t>セツモン</t>
    </rPh>
    <phoneticPr fontId="3"/>
  </si>
  <si>
    <t>①WACCの計算</t>
    <rPh sb="6" eb="8">
      <t>ケイサン</t>
    </rPh>
    <phoneticPr fontId="3"/>
  </si>
  <si>
    <t>資本コスト</t>
    <rPh sb="0" eb="2">
      <t>シホン</t>
    </rPh>
    <phoneticPr fontId="3"/>
  </si>
  <si>
    <t>税引後</t>
    <rPh sb="0" eb="2">
      <t>ゼイビキ</t>
    </rPh>
    <rPh sb="2" eb="3">
      <t>ゴ</t>
    </rPh>
    <phoneticPr fontId="3"/>
  </si>
  <si>
    <t>WACC</t>
    <phoneticPr fontId="3"/>
  </si>
  <si>
    <t>②資産の増加額と要求CF</t>
    <rPh sb="1" eb="3">
      <t>シサン</t>
    </rPh>
    <rPh sb="4" eb="6">
      <t>ゾウカ</t>
    </rPh>
    <rPh sb="6" eb="7">
      <t>ガク</t>
    </rPh>
    <rPh sb="8" eb="10">
      <t>ヨウキュウ</t>
    </rPh>
    <phoneticPr fontId="3"/>
  </si>
  <si>
    <t>増加資産</t>
    <rPh sb="0" eb="2">
      <t>ゾウカ</t>
    </rPh>
    <rPh sb="2" eb="4">
      <t>シサン</t>
    </rPh>
    <phoneticPr fontId="3"/>
  </si>
  <si>
    <t>増加負債</t>
    <rPh sb="0" eb="2">
      <t>ゾウカ</t>
    </rPh>
    <rPh sb="2" eb="4">
      <t>フサイ</t>
    </rPh>
    <phoneticPr fontId="3"/>
  </si>
  <si>
    <t>増加額(NET)</t>
    <rPh sb="0" eb="2">
      <t>ゾウカ</t>
    </rPh>
    <rPh sb="2" eb="3">
      <t>ガク</t>
    </rPh>
    <phoneticPr fontId="3"/>
  </si>
  <si>
    <t>百万円</t>
    <rPh sb="0" eb="3">
      <t>ヒャクマンエン</t>
    </rPh>
    <phoneticPr fontId="3"/>
  </si>
  <si>
    <t>(設問2)</t>
    <rPh sb="1" eb="3">
      <t>セツモン</t>
    </rPh>
    <phoneticPr fontId="3"/>
  </si>
  <si>
    <t>吸収合併により増加したCF(税引後CIFボックス)</t>
    <rPh sb="0" eb="2">
      <t>キュウシュウ</t>
    </rPh>
    <rPh sb="2" eb="4">
      <t>ガッペイ</t>
    </rPh>
    <rPh sb="7" eb="9">
      <t>ゾウカ</t>
    </rPh>
    <rPh sb="14" eb="16">
      <t>ゼイビキ</t>
    </rPh>
    <rPh sb="16" eb="17">
      <t>ゴ</t>
    </rPh>
    <phoneticPr fontId="3"/>
  </si>
  <si>
    <t>収入</t>
    <rPh sb="0" eb="2">
      <t>シュウニュウ</t>
    </rPh>
    <phoneticPr fontId="3"/>
  </si>
  <si>
    <t>費用</t>
    <rPh sb="0" eb="2">
      <t>ヒヨウ</t>
    </rPh>
    <phoneticPr fontId="3"/>
  </si>
  <si>
    <t>非資金費用</t>
    <rPh sb="0" eb="1">
      <t>ヒ</t>
    </rPh>
    <rPh sb="1" eb="3">
      <t>シキン</t>
    </rPh>
    <rPh sb="3" eb="5">
      <t>ヒヨウ</t>
    </rPh>
    <phoneticPr fontId="3"/>
  </si>
  <si>
    <t>税引前利益</t>
    <rPh sb="0" eb="2">
      <t>ゼイビキ</t>
    </rPh>
    <rPh sb="2" eb="3">
      <t>マエ</t>
    </rPh>
    <rPh sb="3" eb="5">
      <t>リエキ</t>
    </rPh>
    <phoneticPr fontId="3"/>
  </si>
  <si>
    <t>うち税金</t>
    <rPh sb="2" eb="4">
      <t>ゼイキン</t>
    </rPh>
    <phoneticPr fontId="3"/>
  </si>
  <si>
    <t>税引後利益</t>
    <rPh sb="0" eb="2">
      <t>ゼイビキ</t>
    </rPh>
    <rPh sb="2" eb="3">
      <t>ゴ</t>
    </rPh>
    <rPh sb="3" eb="5">
      <t>リエキ</t>
    </rPh>
    <phoneticPr fontId="3"/>
  </si>
  <si>
    <t>税引後CF</t>
    <rPh sb="0" eb="2">
      <t>ゼイビキ</t>
    </rPh>
    <rPh sb="2" eb="3">
      <t>ゴ</t>
    </rPh>
    <phoneticPr fontId="3"/>
  </si>
  <si>
    <t>(設問3)</t>
    <rPh sb="1" eb="3">
      <t>セツモン</t>
    </rPh>
    <phoneticPr fontId="3"/>
  </si>
  <si>
    <t>定率成長モデル</t>
    <rPh sb="0" eb="2">
      <t>テイリツ</t>
    </rPh>
    <rPh sb="2" eb="4">
      <t>セイチョウ</t>
    </rPh>
    <phoneticPr fontId="3"/>
  </si>
  <si>
    <t>増加資産額</t>
    <rPh sb="0" eb="2">
      <t>ゾウカ</t>
    </rPh>
    <rPh sb="2" eb="4">
      <t>シサン</t>
    </rPh>
    <rPh sb="4" eb="5">
      <t>ガク</t>
    </rPh>
    <phoneticPr fontId="3"/>
  </si>
  <si>
    <t>税引後CF(FCF)</t>
    <rPh sb="0" eb="2">
      <t>ゼイビキ</t>
    </rPh>
    <rPh sb="2" eb="3">
      <t>ゴ</t>
    </rPh>
    <phoneticPr fontId="3"/>
  </si>
  <si>
    <t>第3問</t>
    <rPh sb="0" eb="1">
      <t>ダイ</t>
    </rPh>
    <rPh sb="2" eb="3">
      <t>モン</t>
    </rPh>
    <phoneticPr fontId="3"/>
  </si>
  <si>
    <t>直接原価計算PLの作成</t>
    <rPh sb="0" eb="2">
      <t>チョクセツ</t>
    </rPh>
    <rPh sb="2" eb="4">
      <t>ゲンカ</t>
    </rPh>
    <rPh sb="4" eb="6">
      <t>ケイサン</t>
    </rPh>
    <rPh sb="9" eb="11">
      <t>サクセイ</t>
    </rPh>
    <phoneticPr fontId="3"/>
  </si>
  <si>
    <t>売上高</t>
    <rPh sb="0" eb="2">
      <t>ウリアゲ</t>
    </rPh>
    <rPh sb="2" eb="3">
      <t>ダカ</t>
    </rPh>
    <phoneticPr fontId="3"/>
  </si>
  <si>
    <t xml:space="preserve"> 外注費</t>
    <rPh sb="1" eb="4">
      <t>ガイチュウヒ</t>
    </rPh>
    <phoneticPr fontId="3"/>
  </si>
  <si>
    <t xml:space="preserve"> その他</t>
    <rPh sb="3" eb="4">
      <t>タ</t>
    </rPh>
    <phoneticPr fontId="3"/>
  </si>
  <si>
    <t>変動売上原価</t>
    <rPh sb="0" eb="2">
      <t>ヘンドウ</t>
    </rPh>
    <rPh sb="2" eb="4">
      <t>ウリアゲ</t>
    </rPh>
    <rPh sb="4" eb="6">
      <t>ゲンカ</t>
    </rPh>
    <phoneticPr fontId="3"/>
  </si>
  <si>
    <t>変動販管費</t>
    <rPh sb="0" eb="2">
      <t>ヘンドウ</t>
    </rPh>
    <rPh sb="2" eb="5">
      <t>ハンカンヒ</t>
    </rPh>
    <phoneticPr fontId="3"/>
  </si>
  <si>
    <t>限界利益</t>
    <rPh sb="0" eb="2">
      <t>ゲンカイ</t>
    </rPh>
    <rPh sb="2" eb="4">
      <t>リエキ</t>
    </rPh>
    <phoneticPr fontId="3"/>
  </si>
  <si>
    <t>限界利益率</t>
    <rPh sb="0" eb="2">
      <t>ゲンカイ</t>
    </rPh>
    <rPh sb="2" eb="4">
      <t>リエキ</t>
    </rPh>
    <rPh sb="4" eb="5">
      <t>リツ</t>
    </rPh>
    <phoneticPr fontId="3"/>
  </si>
  <si>
    <t>固定費</t>
    <rPh sb="0" eb="3">
      <t>コテイヒ</t>
    </rPh>
    <phoneticPr fontId="3"/>
  </si>
  <si>
    <t>営業利益</t>
    <rPh sb="0" eb="2">
      <t>エイギョウ</t>
    </rPh>
    <rPh sb="2" eb="4">
      <t>リエキ</t>
    </rPh>
    <phoneticPr fontId="3"/>
  </si>
  <si>
    <t xml:space="preserve"> 売上原価</t>
    <rPh sb="1" eb="3">
      <t>ウリアゲ</t>
    </rPh>
    <rPh sb="3" eb="5">
      <t>ゲンカ</t>
    </rPh>
    <phoneticPr fontId="3"/>
  </si>
  <si>
    <t xml:space="preserve"> 販管費</t>
    <rPh sb="1" eb="4">
      <t>ハンカンヒ</t>
    </rPh>
    <phoneticPr fontId="3"/>
  </si>
  <si>
    <t>予想PL</t>
    <rPh sb="0" eb="2">
      <t>ヨソウ</t>
    </rPh>
    <phoneticPr fontId="3"/>
  </si>
  <si>
    <t>感度①外注費が7%UP</t>
    <rPh sb="0" eb="2">
      <t>カンド</t>
    </rPh>
    <rPh sb="3" eb="6">
      <t>ガイチュウヒ</t>
    </rPh>
    <phoneticPr fontId="3"/>
  </si>
  <si>
    <t>×107%</t>
    <phoneticPr fontId="3"/>
  </si>
  <si>
    <t>感度②売上高と固定費の増加</t>
    <rPh sb="0" eb="2">
      <t>カンド</t>
    </rPh>
    <rPh sb="3" eb="5">
      <t>ウリアゲ</t>
    </rPh>
    <rPh sb="5" eb="6">
      <t>ダカ</t>
    </rPh>
    <rPh sb="7" eb="9">
      <t>コテイ</t>
    </rPh>
    <rPh sb="9" eb="10">
      <t>ヒ</t>
    </rPh>
    <rPh sb="11" eb="13">
      <t>ゾウカ</t>
    </rPh>
    <phoneticPr fontId="3"/>
  </si>
  <si>
    <t>増加額</t>
    <rPh sb="0" eb="2">
      <t>ゾウカ</t>
    </rPh>
    <rPh sb="2" eb="3">
      <t>ガク</t>
    </rPh>
    <phoneticPr fontId="3"/>
  </si>
  <si>
    <t>←外注費率の増加により限界利益率は低下するが、</t>
    <rPh sb="1" eb="3">
      <t>ガイチュウ</t>
    </rPh>
    <rPh sb="3" eb="4">
      <t>ヒ</t>
    </rPh>
    <rPh sb="4" eb="5">
      <t>リツ</t>
    </rPh>
    <rPh sb="6" eb="8">
      <t>ゾウカ</t>
    </rPh>
    <rPh sb="11" eb="13">
      <t>ゲンカイ</t>
    </rPh>
    <rPh sb="13" eb="15">
      <t>リエキ</t>
    </rPh>
    <rPh sb="15" eb="16">
      <t>リツ</t>
    </rPh>
    <rPh sb="17" eb="19">
      <t>テイカ</t>
    </rPh>
    <phoneticPr fontId="3"/>
  </si>
  <si>
    <t xml:space="preserve">    売上高が大きく成長するため、限界利益額は増加する。</t>
    <rPh sb="4" eb="6">
      <t>ウリアゲ</t>
    </rPh>
    <rPh sb="6" eb="7">
      <t>ダカ</t>
    </rPh>
    <rPh sb="8" eb="9">
      <t>オオ</t>
    </rPh>
    <rPh sb="11" eb="13">
      <t>セイチョウ</t>
    </rPh>
    <rPh sb="18" eb="20">
      <t>ゲンカイ</t>
    </rPh>
    <rPh sb="20" eb="22">
      <t>リエキ</t>
    </rPh>
    <rPh sb="22" eb="23">
      <t>ガク</t>
    </rPh>
    <rPh sb="24" eb="26">
      <t>ゾウカ</t>
    </rPh>
    <phoneticPr fontId="3"/>
  </si>
  <si>
    <t>←限界利益の増加額が固定費増加額を上回り、営業利益は増加する</t>
    <rPh sb="1" eb="3">
      <t>ゲンカイ</t>
    </rPh>
    <rPh sb="3" eb="5">
      <t>リエキ</t>
    </rPh>
    <rPh sb="6" eb="8">
      <t>ゾウカ</t>
    </rPh>
    <rPh sb="8" eb="9">
      <t>ガク</t>
    </rPh>
    <rPh sb="10" eb="13">
      <t>コテイヒ</t>
    </rPh>
    <rPh sb="13" eb="15">
      <t>ゾウカ</t>
    </rPh>
    <rPh sb="15" eb="16">
      <t>ガク</t>
    </rPh>
    <rPh sb="17" eb="19">
      <t>ウワマワ</t>
    </rPh>
    <rPh sb="21" eb="23">
      <t>エイギョウ</t>
    </rPh>
    <rPh sb="23" eb="25">
      <t>リエキ</t>
    </rPh>
    <rPh sb="26" eb="28">
      <t>ゾウカ</t>
    </rPh>
    <phoneticPr fontId="3"/>
  </si>
  <si>
    <t>設問1の感度分析の内容を文章でおさらい？</t>
    <rPh sb="0" eb="2">
      <t>セツモン</t>
    </rPh>
    <rPh sb="4" eb="6">
      <t>カンド</t>
    </rPh>
    <rPh sb="6" eb="8">
      <t>ブンセキ</t>
    </rPh>
    <rPh sb="9" eb="11">
      <t>ナイヨウ</t>
    </rPh>
    <rPh sb="12" eb="14">
      <t>ブンショウ</t>
    </rPh>
    <phoneticPr fontId="3"/>
  </si>
  <si>
    <t>・固定資産への投資により固定費額が増加する場合(←減価償却費、賃借料、人件費など)</t>
    <rPh sb="1" eb="3">
      <t>コテイ</t>
    </rPh>
    <rPh sb="3" eb="5">
      <t>シサン</t>
    </rPh>
    <rPh sb="7" eb="9">
      <t>トウシ</t>
    </rPh>
    <rPh sb="12" eb="15">
      <t>コテイヒ</t>
    </rPh>
    <rPh sb="15" eb="16">
      <t>ガク</t>
    </rPh>
    <rPh sb="17" eb="19">
      <t>ゾウカ</t>
    </rPh>
    <rPh sb="21" eb="23">
      <t>バアイ</t>
    </rPh>
    <rPh sb="25" eb="27">
      <t>ゲンカ</t>
    </rPh>
    <rPh sb="27" eb="29">
      <t>ショウキャク</t>
    </rPh>
    <rPh sb="29" eb="30">
      <t>ヒ</t>
    </rPh>
    <rPh sb="31" eb="34">
      <t>チンシャクリョウ</t>
    </rPh>
    <rPh sb="35" eb="38">
      <t>ジンケンヒ</t>
    </rPh>
    <phoneticPr fontId="3"/>
  </si>
  <si>
    <t>・限界利益率の変動に注意しながら、</t>
    <rPh sb="1" eb="3">
      <t>ゲンカイ</t>
    </rPh>
    <rPh sb="3" eb="5">
      <t>リエキ</t>
    </rPh>
    <rPh sb="5" eb="6">
      <t>リツ</t>
    </rPh>
    <rPh sb="7" eb="9">
      <t>ヘンドウ</t>
    </rPh>
    <rPh sb="10" eb="12">
      <t>チュウイ</t>
    </rPh>
    <phoneticPr fontId="3"/>
  </si>
  <si>
    <t>・限界利益の増加額＞固定費の増加額になるように開設する。←この位の内容を60字で</t>
    <rPh sb="1" eb="3">
      <t>ゲンカイ</t>
    </rPh>
    <rPh sb="3" eb="5">
      <t>リエキ</t>
    </rPh>
    <rPh sb="6" eb="8">
      <t>ゾウカ</t>
    </rPh>
    <rPh sb="8" eb="9">
      <t>ガク</t>
    </rPh>
    <rPh sb="10" eb="13">
      <t>コテイヒ</t>
    </rPh>
    <rPh sb="14" eb="16">
      <t>ゾウカ</t>
    </rPh>
    <rPh sb="16" eb="17">
      <t>ガク</t>
    </rPh>
    <rPh sb="23" eb="25">
      <t>カイセツ</t>
    </rPh>
    <rPh sb="31" eb="32">
      <t>クライ</t>
    </rPh>
    <rPh sb="33" eb="35">
      <t>ナイヨウ</t>
    </rPh>
    <rPh sb="38" eb="39">
      <t>ジ</t>
    </rPh>
    <phoneticPr fontId="3"/>
  </si>
  <si>
    <t>当面の影響、将来見通しを各30字で</t>
    <rPh sb="0" eb="2">
      <t>トウメン</t>
    </rPh>
    <rPh sb="3" eb="5">
      <t>エイキョウ</t>
    </rPh>
    <rPh sb="6" eb="8">
      <t>ショウライ</t>
    </rPh>
    <rPh sb="8" eb="10">
      <t>ミトオ</t>
    </rPh>
    <rPh sb="12" eb="13">
      <t>カク</t>
    </rPh>
    <rPh sb="15" eb="16">
      <t>ジ</t>
    </rPh>
    <phoneticPr fontId="3"/>
  </si>
  <si>
    <t>当面の影響</t>
    <rPh sb="0" eb="2">
      <t>トウメン</t>
    </rPh>
    <rPh sb="3" eb="5">
      <t>エイキョウ</t>
    </rPh>
    <phoneticPr fontId="3"/>
  </si>
  <si>
    <t>・売上高、限界利益の増加が固定費の増加を上回り、成長性に貢献する。</t>
    <rPh sb="1" eb="3">
      <t>ウリアゲ</t>
    </rPh>
    <rPh sb="3" eb="4">
      <t>ダカ</t>
    </rPh>
    <rPh sb="5" eb="7">
      <t>ゲンカイ</t>
    </rPh>
    <rPh sb="7" eb="9">
      <t>リエキ</t>
    </rPh>
    <rPh sb="10" eb="12">
      <t>ゾウカ</t>
    </rPh>
    <rPh sb="13" eb="16">
      <t>コテイヒ</t>
    </rPh>
    <rPh sb="17" eb="19">
      <t>ゾウカ</t>
    </rPh>
    <rPh sb="20" eb="22">
      <t>ウワマワ</t>
    </rPh>
    <rPh sb="24" eb="27">
      <t>セイチョウセイ</t>
    </rPh>
    <rPh sb="28" eb="30">
      <t>コウケン</t>
    </rPh>
    <phoneticPr fontId="3"/>
  </si>
  <si>
    <t>将来見通し</t>
    <rPh sb="0" eb="2">
      <t>ショウライ</t>
    </rPh>
    <rPh sb="2" eb="4">
      <t>ミトオ</t>
    </rPh>
    <phoneticPr fontId="3"/>
  </si>
  <si>
    <t>・限界利益が固定費を上回り、採算性の合う営業所の増加は配送網の強化を通じ、さらなる成長に貢献する。  ←この位の内容を60字で</t>
    <rPh sb="1" eb="3">
      <t>ゲンカイ</t>
    </rPh>
    <rPh sb="3" eb="5">
      <t>リエキ</t>
    </rPh>
    <rPh sb="6" eb="9">
      <t>コテイヒ</t>
    </rPh>
    <rPh sb="10" eb="12">
      <t>ウワマワ</t>
    </rPh>
    <rPh sb="14" eb="17">
      <t>サイサンセイ</t>
    </rPh>
    <rPh sb="18" eb="19">
      <t>ア</t>
    </rPh>
    <rPh sb="20" eb="23">
      <t>エイギョウショ</t>
    </rPh>
    <rPh sb="24" eb="26">
      <t>ゾウカ</t>
    </rPh>
    <rPh sb="27" eb="29">
      <t>ハイソウ</t>
    </rPh>
    <rPh sb="29" eb="30">
      <t>モウ</t>
    </rPh>
    <rPh sb="31" eb="33">
      <t>キョウカ</t>
    </rPh>
    <rPh sb="34" eb="35">
      <t>ツウ</t>
    </rPh>
    <rPh sb="41" eb="43">
      <t>セイチョウ</t>
    </rPh>
    <rPh sb="44" eb="46">
      <t>コウケン</t>
    </rPh>
    <rPh sb="54" eb="55">
      <t>クライ</t>
    </rPh>
    <rPh sb="56" eb="58">
      <t>ナイヨウ</t>
    </rPh>
    <rPh sb="61" eb="62">
      <t>ジ</t>
    </rPh>
    <phoneticPr fontId="3"/>
  </si>
  <si>
    <t>第4問</t>
    <rPh sb="0" eb="1">
      <t>ダイ</t>
    </rPh>
    <rPh sb="2" eb="3">
      <t>モン</t>
    </rPh>
    <phoneticPr fontId="3"/>
  </si>
  <si>
    <t>業務委託の悪影響リスク</t>
    <rPh sb="0" eb="2">
      <t>ギョウム</t>
    </rPh>
    <rPh sb="2" eb="4">
      <t>イタク</t>
    </rPh>
    <rPh sb="5" eb="8">
      <t>アクエイキョウ</t>
    </rPh>
    <phoneticPr fontId="3"/>
  </si>
  <si>
    <t>業務委託によるリスク  ←運営知識ポエム？</t>
    <rPh sb="0" eb="2">
      <t>ギョウム</t>
    </rPh>
    <rPh sb="2" eb="4">
      <t>イタク</t>
    </rPh>
    <rPh sb="13" eb="15">
      <t>ウンエイ</t>
    </rPh>
    <rPh sb="15" eb="17">
      <t>チシキ</t>
    </rPh>
    <phoneticPr fontId="3"/>
  </si>
  <si>
    <t>Q業務の品質、Cコスト、D納期の問題を軽く指摘した上で、</t>
    <rPh sb="1" eb="3">
      <t>ギョウム</t>
    </rPh>
    <rPh sb="4" eb="6">
      <t>ヒンシツ</t>
    </rPh>
    <rPh sb="13" eb="15">
      <t>ノウキ</t>
    </rPh>
    <rPh sb="16" eb="18">
      <t>モンダイ</t>
    </rPh>
    <rPh sb="19" eb="20">
      <t>カル</t>
    </rPh>
    <rPh sb="21" eb="23">
      <t>シテキ</t>
    </rPh>
    <rPh sb="25" eb="26">
      <t>ウエ</t>
    </rPh>
    <phoneticPr fontId="3"/>
  </si>
  <si>
    <t>優秀な人材の採用、社員教育に努めることを通じ、顧客企業からの要望に対応。</t>
    <rPh sb="0" eb="2">
      <t>ユウシュウ</t>
    </rPh>
    <rPh sb="3" eb="5">
      <t>ジンザイ</t>
    </rPh>
    <rPh sb="6" eb="8">
      <t>サイヨウ</t>
    </rPh>
    <rPh sb="9" eb="11">
      <t>シャイン</t>
    </rPh>
    <rPh sb="11" eb="13">
      <t>キョウイク</t>
    </rPh>
    <rPh sb="14" eb="15">
      <t>ツト</t>
    </rPh>
    <rPh sb="20" eb="21">
      <t>ツウ</t>
    </rPh>
    <rPh sb="23" eb="25">
      <t>コキャク</t>
    </rPh>
    <rPh sb="25" eb="27">
      <t>キギョウ</t>
    </rPh>
    <rPh sb="30" eb="32">
      <t>ヨウボウ</t>
    </rPh>
    <rPh sb="33" eb="35">
      <t>タイオウ</t>
    </rPh>
    <phoneticPr fontId="3"/>
  </si>
  <si>
    <t>だいたいこんなことを、思いつく限り具体的に。</t>
    <rPh sb="11" eb="12">
      <t>オモ</t>
    </rPh>
    <rPh sb="15" eb="16">
      <t>カギ</t>
    </rPh>
    <rPh sb="17" eb="20">
      <t>グタイテキ</t>
    </rPh>
    <phoneticPr fontId="3"/>
  </si>
  <si>
    <t>初年度の要求CF</t>
    <rPh sb="0" eb="3">
      <t>ショネンド</t>
    </rPh>
    <rPh sb="4" eb="6">
      <t>ヨウキュウ</t>
    </rPh>
    <phoneticPr fontId="3"/>
  </si>
  <si>
    <t>ー成長率g</t>
    <phoneticPr fontId="3"/>
  </si>
  <si>
    <t>変動費率</t>
    <rPh sb="0" eb="2">
      <t>ヘンドウ</t>
    </rPh>
    <rPh sb="2" eb="3">
      <t>ヒ</t>
    </rPh>
    <rPh sb="3" eb="4">
      <t>リツ</t>
    </rPh>
    <phoneticPr fontId="3"/>
  </si>
  <si>
    <t>・売上高総利益率に優れ、新たなビジネスモデルによる採算改善が見られる。</t>
    <rPh sb="1" eb="3">
      <t>ウリアゲ</t>
    </rPh>
    <rPh sb="3" eb="4">
      <t>ダカ</t>
    </rPh>
    <rPh sb="4" eb="5">
      <t>ソウ</t>
    </rPh>
    <rPh sb="5" eb="7">
      <t>リエキ</t>
    </rPh>
    <rPh sb="7" eb="8">
      <t>リツ</t>
    </rPh>
    <rPh sb="9" eb="10">
      <t>スグ</t>
    </rPh>
    <rPh sb="12" eb="13">
      <t>シン</t>
    </rPh>
    <rPh sb="25" eb="27">
      <t>サイサン</t>
    </rPh>
    <rPh sb="27" eb="29">
      <t>カイゼン</t>
    </rPh>
    <rPh sb="30" eb="31">
      <t>ミ</t>
    </rPh>
    <phoneticPr fontId="3"/>
  </si>
  <si>
    <t>・販管費率が高く、抑制策が必要。</t>
    <rPh sb="1" eb="4">
      <t>ハンカンヒ</t>
    </rPh>
    <rPh sb="4" eb="5">
      <t>リツ</t>
    </rPh>
    <rPh sb="6" eb="7">
      <t>タカ</t>
    </rPh>
    <rPh sb="9" eb="12">
      <t>ヨクセイサク</t>
    </rPh>
    <rPh sb="13" eb="15">
      <t>ヒツヨウ</t>
    </rPh>
    <phoneticPr fontId="3"/>
  </si>
  <si>
    <t>増加した税引後CF3.80は、増加資産から要求されるCF6.27を上回り、企業価値向上につながっていない。</t>
    <rPh sb="0" eb="2">
      <t>ゾウカ</t>
    </rPh>
    <rPh sb="4" eb="6">
      <t>ゼイビキ</t>
    </rPh>
    <rPh sb="6" eb="7">
      <t>ゴ</t>
    </rPh>
    <rPh sb="15" eb="17">
      <t>ゾウカ</t>
    </rPh>
    <rPh sb="17" eb="19">
      <t>シサン</t>
    </rPh>
    <rPh sb="21" eb="23">
      <t>ヨウキュウ</t>
    </rPh>
    <rPh sb="33" eb="35">
      <t>ウワマワ</t>
    </rPh>
    <rPh sb="37" eb="39">
      <t>キギョウ</t>
    </rPh>
    <rPh sb="39" eb="41">
      <t>カチ</t>
    </rPh>
    <rPh sb="41" eb="43">
      <t>コウジョウ</t>
    </rPh>
    <phoneticPr fontId="3"/>
  </si>
  <si>
    <t>参考：｢財務｣H28第16問 配当割引モデル＋企業価値</t>
    <rPh sb="0" eb="2">
      <t>サンコウ</t>
    </rPh>
    <rPh sb="4" eb="6">
      <t>ザイム</t>
    </rPh>
    <rPh sb="10" eb="11">
      <t>ダイ</t>
    </rPh>
    <rPh sb="13" eb="14">
      <t>モン</t>
    </rPh>
    <rPh sb="15" eb="17">
      <t>ハイトウ</t>
    </rPh>
    <rPh sb="17" eb="19">
      <t>ワリビキ</t>
    </rPh>
    <rPh sb="23" eb="25">
      <t>キギョウ</t>
    </rPh>
    <rPh sb="25" eb="27">
      <t>カチ</t>
    </rPh>
    <phoneticPr fontId="3"/>
  </si>
  <si>
    <t>V企業価値</t>
    <rPh sb="1" eb="3">
      <t>キギョウ</t>
    </rPh>
    <rPh sb="3" eb="5">
      <t>カチ</t>
    </rPh>
    <phoneticPr fontId="3"/>
  </si>
  <si>
    <t>＝</t>
    <phoneticPr fontId="3"/>
  </si>
  <si>
    <t>1年後の配当</t>
    <rPh sb="1" eb="3">
      <t>ネンゴ</t>
    </rPh>
    <rPh sb="4" eb="6">
      <t>ハイトウ</t>
    </rPh>
    <phoneticPr fontId="3"/>
  </si>
  <si>
    <t>WACC</t>
    <phoneticPr fontId="3"/>
  </si>
  <si>
    <t>－成長率g</t>
    <phoneticPr fontId="3"/>
  </si>
  <si>
    <t>正解エ</t>
    <rPh sb="0" eb="2">
      <t>セイカイ</t>
    </rPh>
    <phoneticPr fontId="3"/>
  </si>
  <si>
    <t>×(1+g)</t>
    <phoneticPr fontId="3"/>
  </si>
  <si>
    <t>※エクセル計算上、強引に関数で答えを計算していますが、実際は方程式で解きます。</t>
    <rPh sb="5" eb="8">
      <t>ケイサンジョウ</t>
    </rPh>
    <rPh sb="9" eb="11">
      <t>ゴウイン</t>
    </rPh>
    <rPh sb="12" eb="14">
      <t>カンスウ</t>
    </rPh>
    <rPh sb="15" eb="16">
      <t>コタ</t>
    </rPh>
    <rPh sb="18" eb="20">
      <t>ケイサン</t>
    </rPh>
    <rPh sb="27" eb="29">
      <t>ジッサイ</t>
    </rPh>
    <rPh sb="30" eb="33">
      <t>ホウテイシキ</t>
    </rPh>
    <rPh sb="34" eb="35">
      <t>ト</t>
    </rPh>
    <phoneticPr fontId="3"/>
  </si>
  <si>
    <t>H30</t>
    <phoneticPr fontId="3"/>
  </si>
  <si>
    <t>FCF、または単にキャッシュフロー</t>
    <rPh sb="7" eb="8">
      <t>タン</t>
    </rPh>
    <phoneticPr fontId="3"/>
  </si>
  <si>
    <t>WACC
計算</t>
    <rPh sb="5" eb="7">
      <t>ケイサン</t>
    </rPh>
    <phoneticPr fontId="3"/>
  </si>
  <si>
    <t>×</t>
  </si>
  <si>
    <t>〇</t>
    <phoneticPr fontId="3"/>
  </si>
  <si>
    <t>要求CF</t>
    <rPh sb="0" eb="2">
      <t>ヨウキュウ</t>
    </rPh>
    <phoneticPr fontId="3"/>
  </si>
  <si>
    <t>〇
配当割引モデル</t>
    <rPh sb="2" eb="4">
      <t>ハイトウ</t>
    </rPh>
    <rPh sb="4" eb="6">
      <t>ワリビキ</t>
    </rPh>
    <phoneticPr fontId="3"/>
  </si>
  <si>
    <t>DCF法</t>
    <rPh sb="3" eb="4">
      <t>ホウ</t>
    </rPh>
    <phoneticPr fontId="3"/>
  </si>
  <si>
    <t>文章題</t>
    <rPh sb="0" eb="3">
      <t>ブンショウダイ</t>
    </rPh>
    <phoneticPr fontId="3"/>
  </si>
  <si>
    <t>R1年事例Ⅳ</t>
    <rPh sb="2" eb="3">
      <t>ネン</t>
    </rPh>
    <rPh sb="3" eb="5">
      <t>ジレイ</t>
    </rPh>
    <phoneticPr fontId="3"/>
  </si>
  <si>
    <t>R1</t>
    <phoneticPr fontId="3"/>
  </si>
  <si>
    <t>(設問１)</t>
    <rPh sb="1" eb="3">
      <t>セツモン</t>
    </rPh>
    <phoneticPr fontId="3"/>
  </si>
  <si>
    <t>セグメント損益(CVP分析～限界利益概念の応用)</t>
    <rPh sb="5" eb="7">
      <t>ソンエキ</t>
    </rPh>
    <rPh sb="11" eb="13">
      <t>ブンセキ</t>
    </rPh>
    <rPh sb="14" eb="16">
      <t>ゲンカイ</t>
    </rPh>
    <rPh sb="16" eb="18">
      <t>リエキ</t>
    </rPh>
    <rPh sb="18" eb="20">
      <t>ガイネン</t>
    </rPh>
    <rPh sb="21" eb="23">
      <t>オウヨウ</t>
    </rPh>
    <phoneticPr fontId="3"/>
  </si>
  <si>
    <t>建材事業部</t>
    <rPh sb="0" eb="2">
      <t>ケンザイ</t>
    </rPh>
    <rPh sb="2" eb="4">
      <t>ジギョウ</t>
    </rPh>
    <rPh sb="4" eb="5">
      <t>ブ</t>
    </rPh>
    <phoneticPr fontId="3"/>
  </si>
  <si>
    <t>マーケット事業部</t>
    <rPh sb="5" eb="7">
      <t>ジギョウ</t>
    </rPh>
    <rPh sb="7" eb="8">
      <t>ブ</t>
    </rPh>
    <phoneticPr fontId="3"/>
  </si>
  <si>
    <t>不動産事業部</t>
    <rPh sb="0" eb="3">
      <t>フドウサン</t>
    </rPh>
    <rPh sb="3" eb="5">
      <t>ジギョウ</t>
    </rPh>
    <rPh sb="5" eb="6">
      <t>ブ</t>
    </rPh>
    <phoneticPr fontId="3"/>
  </si>
  <si>
    <t>共通</t>
    <rPh sb="0" eb="2">
      <t>キョウツウ</t>
    </rPh>
    <phoneticPr fontId="3"/>
  </si>
  <si>
    <t>合計</t>
    <rPh sb="0" eb="2">
      <t>ゴウケイ</t>
    </rPh>
    <phoneticPr fontId="3"/>
  </si>
  <si>
    <t>売上高</t>
    <rPh sb="0" eb="2">
      <t>ウリアゲ</t>
    </rPh>
    <rPh sb="2" eb="3">
      <t>ダカ</t>
    </rPh>
    <phoneticPr fontId="3"/>
  </si>
  <si>
    <t>変動費</t>
    <rPh sb="0" eb="2">
      <t>ヘンドウ</t>
    </rPh>
    <rPh sb="2" eb="3">
      <t>ヒ</t>
    </rPh>
    <phoneticPr fontId="3"/>
  </si>
  <si>
    <t>変動費率</t>
    <rPh sb="0" eb="2">
      <t>ヘンドウ</t>
    </rPh>
    <rPh sb="2" eb="3">
      <t>ヒ</t>
    </rPh>
    <rPh sb="3" eb="4">
      <t>リツ</t>
    </rPh>
    <phoneticPr fontId="3"/>
  </si>
  <si>
    <t>固定費</t>
    <rPh sb="0" eb="3">
      <t>コテイヒ</t>
    </rPh>
    <phoneticPr fontId="3"/>
  </si>
  <si>
    <t>セグメント利益</t>
    <rPh sb="5" eb="7">
      <t>リエキ</t>
    </rPh>
    <phoneticPr fontId="3"/>
  </si>
  <si>
    <t>(設問2)</t>
    <rPh sb="1" eb="3">
      <t>セツモン</t>
    </rPh>
    <phoneticPr fontId="3"/>
  </si>
  <si>
    <t>損益分岐点売上高SBEPの算定</t>
    <rPh sb="0" eb="2">
      <t>ソンエキ</t>
    </rPh>
    <rPh sb="2" eb="5">
      <t>ブンキテン</t>
    </rPh>
    <rPh sb="5" eb="7">
      <t>ウリアゲ</t>
    </rPh>
    <rPh sb="7" eb="8">
      <t>ダカ</t>
    </rPh>
    <rPh sb="13" eb="15">
      <t>サンテイ</t>
    </rPh>
    <phoneticPr fontId="3"/>
  </si>
  <si>
    <t>※公式利用(固定費÷限界利益率)で一発</t>
    <rPh sb="1" eb="3">
      <t>コウシキ</t>
    </rPh>
    <rPh sb="3" eb="5">
      <t>リヨウ</t>
    </rPh>
    <rPh sb="6" eb="9">
      <t>コテイヒ</t>
    </rPh>
    <rPh sb="10" eb="12">
      <t>ゲンカイ</t>
    </rPh>
    <rPh sb="12" eb="14">
      <t>リエキ</t>
    </rPh>
    <rPh sb="14" eb="15">
      <t>リツ</t>
    </rPh>
    <rPh sb="17" eb="19">
      <t>イッパツ</t>
    </rPh>
    <phoneticPr fontId="3"/>
  </si>
  <si>
    <t>÷</t>
    <phoneticPr fontId="3"/>
  </si>
  <si>
    <t>限界利益率</t>
    <rPh sb="0" eb="2">
      <t>ゲンカイ</t>
    </rPh>
    <rPh sb="2" eb="4">
      <t>リエキ</t>
    </rPh>
    <rPh sb="4" eb="5">
      <t>リツ</t>
    </rPh>
    <phoneticPr fontId="3"/>
  </si>
  <si>
    <t>＝</t>
    <phoneticPr fontId="3"/>
  </si>
  <si>
    <t>SBEP</t>
    <phoneticPr fontId="3"/>
  </si>
  <si>
    <t>(設問3)</t>
    <rPh sb="1" eb="3">
      <t>セツモン</t>
    </rPh>
    <phoneticPr fontId="3"/>
  </si>
  <si>
    <t>目標セグメント利益(＝経常利益)</t>
    <rPh sb="0" eb="2">
      <t>モクヒョウ</t>
    </rPh>
    <rPh sb="7" eb="9">
      <t>リエキ</t>
    </rPh>
    <rPh sb="11" eb="13">
      <t>ケイツネ</t>
    </rPh>
    <rPh sb="13" eb="15">
      <t>リエキ</t>
    </rPh>
    <phoneticPr fontId="3"/>
  </si>
  <si>
    <t>・・① 売上高はマーケット事業部のみ＋10%</t>
    <rPh sb="4" eb="6">
      <t>ウリアゲ</t>
    </rPh>
    <rPh sb="6" eb="7">
      <t>ダカ</t>
    </rPh>
    <rPh sb="13" eb="15">
      <t>ジギョウ</t>
    </rPh>
    <rPh sb="15" eb="16">
      <t>ブ</t>
    </rPh>
    <phoneticPr fontId="3"/>
  </si>
  <si>
    <t>・・②固定費は不変</t>
    <rPh sb="3" eb="6">
      <t>コテイヒ</t>
    </rPh>
    <rPh sb="7" eb="9">
      <t>フヘン</t>
    </rPh>
    <phoneticPr fontId="3"/>
  </si>
  <si>
    <t>・・③目標経常利益を固定費の調整項目に</t>
    <rPh sb="3" eb="5">
      <t>モクヒョウ</t>
    </rPh>
    <rPh sb="5" eb="7">
      <t>ケイツネ</t>
    </rPh>
    <rPh sb="7" eb="9">
      <t>リエキ</t>
    </rPh>
    <rPh sb="10" eb="13">
      <t>コテイヒ</t>
    </rPh>
    <rPh sb="14" eb="16">
      <t>チョウセイ</t>
    </rPh>
    <rPh sb="16" eb="18">
      <t>コウモク</t>
    </rPh>
    <phoneticPr fontId="3"/>
  </si>
  <si>
    <t>・・変動費額＝①-(②＋③)</t>
    <rPh sb="2" eb="4">
      <t>ヘンドウ</t>
    </rPh>
    <rPh sb="4" eb="5">
      <t>ヒ</t>
    </rPh>
    <rPh sb="5" eb="6">
      <t>ガク</t>
    </rPh>
    <phoneticPr fontId="3"/>
  </si>
  <si>
    <t>変動費率(a)</t>
    <rPh sb="0" eb="2">
      <t>ヘンドウ</t>
    </rPh>
    <rPh sb="2" eb="3">
      <t>ヒ</t>
    </rPh>
    <rPh sb="3" eb="4">
      <t>リツ</t>
    </rPh>
    <phoneticPr fontId="3"/>
  </si>
  <si>
    <r>
      <t>変動費率の計算</t>
    </r>
    <r>
      <rPr>
        <b/>
        <sz val="10"/>
        <color rgb="FFFF0000"/>
        <rFont val="游ゴシック"/>
        <family val="3"/>
        <charset val="128"/>
        <scheme val="minor"/>
      </rPr>
      <t>・・単純に計算するだけ</t>
    </r>
    <rPh sb="0" eb="2">
      <t>ヘンドウ</t>
    </rPh>
    <rPh sb="2" eb="3">
      <t>ヒ</t>
    </rPh>
    <rPh sb="3" eb="4">
      <t>リツ</t>
    </rPh>
    <rPh sb="5" eb="7">
      <t>ケイサン</t>
    </rPh>
    <rPh sb="9" eb="11">
      <t>タンジュン</t>
    </rPh>
    <rPh sb="12" eb="14">
      <t>ケイサン</t>
    </rPh>
    <phoneticPr fontId="3"/>
  </si>
  <si>
    <t>NPV＋回収期間法</t>
    <rPh sb="4" eb="6">
      <t>カイシュウ</t>
    </rPh>
    <rPh sb="6" eb="8">
      <t>キカン</t>
    </rPh>
    <rPh sb="8" eb="9">
      <t>ホウ</t>
    </rPh>
    <phoneticPr fontId="3"/>
  </si>
  <si>
    <t>各期の｢税引後｣キャッシュフローの算定</t>
    <rPh sb="0" eb="2">
      <t>カクキ</t>
    </rPh>
    <rPh sb="4" eb="6">
      <t>ゼイビキ</t>
    </rPh>
    <rPh sb="6" eb="7">
      <t>ゴ</t>
    </rPh>
    <rPh sb="17" eb="19">
      <t>サンテイ</t>
    </rPh>
    <phoneticPr fontId="3"/>
  </si>
  <si>
    <t>※何のキャッシュフローであるかが省略されているが、慌てずいつもの計算パターンでOK</t>
    <rPh sb="1" eb="2">
      <t>ナン</t>
    </rPh>
    <rPh sb="16" eb="18">
      <t>ショウリャク</t>
    </rPh>
    <rPh sb="25" eb="26">
      <t>アワ</t>
    </rPh>
    <rPh sb="32" eb="34">
      <t>ケイサン</t>
    </rPh>
    <phoneticPr fontId="3"/>
  </si>
  <si>
    <t>【税引後CIFボックス～税引後CF算定の基本中の基本】</t>
    <rPh sb="1" eb="3">
      <t>ゼイビキ</t>
    </rPh>
    <rPh sb="3" eb="4">
      <t>ゴ</t>
    </rPh>
    <rPh sb="12" eb="14">
      <t>ゼイビキ</t>
    </rPh>
    <rPh sb="14" eb="15">
      <t>ゴ</t>
    </rPh>
    <rPh sb="17" eb="19">
      <t>サンテイ</t>
    </rPh>
    <rPh sb="20" eb="22">
      <t>キホン</t>
    </rPh>
    <rPh sb="22" eb="23">
      <t>チュウ</t>
    </rPh>
    <rPh sb="24" eb="26">
      <t>キホン</t>
    </rPh>
    <phoneticPr fontId="3"/>
  </si>
  <si>
    <t>CIF</t>
    <phoneticPr fontId="3"/>
  </si>
  <si>
    <t>COF</t>
    <phoneticPr fontId="3"/>
  </si>
  <si>
    <t>原材料費</t>
    <rPh sb="0" eb="3">
      <t>ゲンザイリョウ</t>
    </rPh>
    <rPh sb="3" eb="4">
      <t>ヒ</t>
    </rPh>
    <phoneticPr fontId="3"/>
  </si>
  <si>
    <t>労務費</t>
    <rPh sb="0" eb="3">
      <t>ロウムヒ</t>
    </rPh>
    <phoneticPr fontId="3"/>
  </si>
  <si>
    <t>その他の経費</t>
    <rPh sb="2" eb="3">
      <t>タ</t>
    </rPh>
    <rPh sb="4" eb="6">
      <t>ケイヒ</t>
    </rPh>
    <phoneticPr fontId="3"/>
  </si>
  <si>
    <t>販売費</t>
    <rPh sb="0" eb="3">
      <t>ハンバイヒ</t>
    </rPh>
    <phoneticPr fontId="3"/>
  </si>
  <si>
    <t>減価償却費</t>
    <rPh sb="0" eb="2">
      <t>ゲンカ</t>
    </rPh>
    <rPh sb="2" eb="4">
      <t>ショウキャク</t>
    </rPh>
    <rPh sb="4" eb="5">
      <t>ヒ</t>
    </rPh>
    <phoneticPr fontId="3"/>
  </si>
  <si>
    <t>税引前利益</t>
    <rPh sb="0" eb="2">
      <t>ゼイビキ</t>
    </rPh>
    <rPh sb="2" eb="3">
      <t>マエ</t>
    </rPh>
    <rPh sb="3" eb="5">
      <t>リエキ</t>
    </rPh>
    <phoneticPr fontId="3"/>
  </si>
  <si>
    <t>①</t>
    <phoneticPr fontId="3"/>
  </si>
  <si>
    <t>②</t>
    <phoneticPr fontId="3"/>
  </si>
  <si>
    <t>③</t>
    <phoneticPr fontId="3"/>
  </si>
  <si>
    <t>①-(②＋③)</t>
    <phoneticPr fontId="3"/>
  </si>
  <si>
    <t>税金30%</t>
    <rPh sb="0" eb="2">
      <t>ゼイキン</t>
    </rPh>
    <phoneticPr fontId="3"/>
  </si>
  <si>
    <t>残り70%</t>
    <rPh sb="0" eb="1">
      <t>ノコ</t>
    </rPh>
    <phoneticPr fontId="3"/>
  </si>
  <si>
    <t>手順(1) タイムテーブルを描く</t>
    <rPh sb="0" eb="2">
      <t>テジュン</t>
    </rPh>
    <rPh sb="14" eb="15">
      <t>カ</t>
    </rPh>
    <phoneticPr fontId="3"/>
  </si>
  <si>
    <t>①売上高</t>
    <rPh sb="1" eb="3">
      <t>ウリアゲ</t>
    </rPh>
    <rPh sb="3" eb="4">
      <t>ダカ</t>
    </rPh>
    <phoneticPr fontId="3"/>
  </si>
  <si>
    <t xml:space="preserve">   原材料費</t>
    <rPh sb="3" eb="6">
      <t>ゲンザイリョウ</t>
    </rPh>
    <rPh sb="6" eb="7">
      <t>ヒ</t>
    </rPh>
    <phoneticPr fontId="3"/>
  </si>
  <si>
    <t xml:space="preserve">   労務費</t>
    <rPh sb="3" eb="6">
      <t>ロウムヒ</t>
    </rPh>
    <phoneticPr fontId="3"/>
  </si>
  <si>
    <t xml:space="preserve">   その他の経費</t>
    <rPh sb="5" eb="6">
      <t>タ</t>
    </rPh>
    <rPh sb="7" eb="9">
      <t>ケイヒ</t>
    </rPh>
    <phoneticPr fontId="3"/>
  </si>
  <si>
    <t xml:space="preserve">   販売費</t>
    <rPh sb="3" eb="6">
      <t>ハンバイヒ</t>
    </rPh>
    <phoneticPr fontId="3"/>
  </si>
  <si>
    <t>②経費計</t>
    <rPh sb="1" eb="3">
      <t>ケイヒ</t>
    </rPh>
    <rPh sb="3" eb="4">
      <t>ケイ</t>
    </rPh>
    <phoneticPr fontId="3"/>
  </si>
  <si>
    <t>③減価償却費</t>
    <rPh sb="1" eb="3">
      <t>ゲンカ</t>
    </rPh>
    <rPh sb="3" eb="5">
      <t>ショウキャク</t>
    </rPh>
    <rPh sb="5" eb="6">
      <t>ヒ</t>
    </rPh>
    <phoneticPr fontId="3"/>
  </si>
  <si>
    <t>税引後利益</t>
    <rPh sb="0" eb="2">
      <t>ゼイビキ</t>
    </rPh>
    <rPh sb="2" eb="3">
      <t>ゴ</t>
    </rPh>
    <rPh sb="3" eb="5">
      <t>リエキ</t>
    </rPh>
    <phoneticPr fontId="3"/>
  </si>
  <si>
    <t>税引後CIF</t>
    <rPh sb="0" eb="2">
      <t>ゼイビキ</t>
    </rPh>
    <rPh sb="2" eb="3">
      <t>ゴ</t>
    </rPh>
    <phoneticPr fontId="3"/>
  </si>
  <si>
    <t>緑セル部分が、当期の税引後CIFに</t>
    <rPh sb="0" eb="1">
      <t>ミドリ</t>
    </rPh>
    <rPh sb="3" eb="5">
      <t>ブブン</t>
    </rPh>
    <rPh sb="7" eb="9">
      <t>トウキ</t>
    </rPh>
    <rPh sb="10" eb="12">
      <t>ゼイビキ</t>
    </rPh>
    <rPh sb="12" eb="13">
      <t>ゴ</t>
    </rPh>
    <phoneticPr fontId="3"/>
  </si>
  <si>
    <t>第1期</t>
    <rPh sb="0" eb="1">
      <t>ダイ</t>
    </rPh>
    <rPh sb="2" eb="3">
      <t>キ</t>
    </rPh>
    <phoneticPr fontId="3"/>
  </si>
  <si>
    <t>第2期</t>
    <rPh sb="0" eb="1">
      <t>ダイ</t>
    </rPh>
    <rPh sb="2" eb="3">
      <t>キ</t>
    </rPh>
    <phoneticPr fontId="3"/>
  </si>
  <si>
    <t>第3期</t>
    <rPh sb="0" eb="1">
      <t>ダイ</t>
    </rPh>
    <rPh sb="2" eb="3">
      <t>キ</t>
    </rPh>
    <phoneticPr fontId="3"/>
  </si>
  <si>
    <t>第4期</t>
    <rPh sb="0" eb="1">
      <t>ダイ</t>
    </rPh>
    <rPh sb="2" eb="3">
      <t>キ</t>
    </rPh>
    <phoneticPr fontId="3"/>
  </si>
  <si>
    <t>第5期</t>
    <rPh sb="0" eb="1">
      <t>ダイ</t>
    </rPh>
    <rPh sb="2" eb="3">
      <t>キ</t>
    </rPh>
    <phoneticPr fontId="3"/>
  </si>
  <si>
    <t>設備投資経済性の計算</t>
    <rPh sb="0" eb="2">
      <t>セツビ</t>
    </rPh>
    <rPh sb="2" eb="4">
      <t>トウシ</t>
    </rPh>
    <rPh sb="4" eb="7">
      <t>ケイザイセイ</t>
    </rPh>
    <rPh sb="8" eb="10">
      <t>ケイサン</t>
    </rPh>
    <phoneticPr fontId="3"/>
  </si>
  <si>
    <t>(a)回収期間法</t>
    <rPh sb="3" eb="5">
      <t>カイシュウ</t>
    </rPh>
    <rPh sb="5" eb="7">
      <t>キカン</t>
    </rPh>
    <rPh sb="7" eb="8">
      <t>ホウ</t>
    </rPh>
    <phoneticPr fontId="3"/>
  </si>
  <si>
    <t>取得原価</t>
    <rPh sb="0" eb="2">
      <t>シュトク</t>
    </rPh>
    <rPh sb="2" eb="4">
      <t>ゲンカ</t>
    </rPh>
    <phoneticPr fontId="3"/>
  </si>
  <si>
    <t>年</t>
    <rPh sb="0" eb="1">
      <t>ネン</t>
    </rPh>
    <phoneticPr fontId="3"/>
  </si>
  <si>
    <t>←4年目の端数</t>
    <rPh sb="2" eb="3">
      <t>ネン</t>
    </rPh>
    <rPh sb="3" eb="4">
      <t>メ</t>
    </rPh>
    <rPh sb="5" eb="7">
      <t>ハスウ</t>
    </rPh>
    <phoneticPr fontId="3"/>
  </si>
  <si>
    <t>(b)NPV法</t>
    <rPh sb="6" eb="7">
      <t>ホウ</t>
    </rPh>
    <phoneticPr fontId="3"/>
  </si>
  <si>
    <t>税引後CIFのPV</t>
    <rPh sb="0" eb="2">
      <t>ゼイビキ</t>
    </rPh>
    <rPh sb="2" eb="3">
      <t>ゴ</t>
    </rPh>
    <phoneticPr fontId="3"/>
  </si>
  <si>
    <t>←現価係数</t>
    <rPh sb="1" eb="3">
      <t>ゲンカ</t>
    </rPh>
    <rPh sb="3" eb="5">
      <t>ケイスウ</t>
    </rPh>
    <phoneticPr fontId="3"/>
  </si>
  <si>
    <t>←PV</t>
    <phoneticPr fontId="3"/>
  </si>
  <si>
    <t>PV</t>
    <phoneticPr fontId="3"/>
  </si>
  <si>
    <t>NPV</t>
    <phoneticPr fontId="3"/>
  </si>
  <si>
    <t>①費用削減額を一旦無視し、取得原価＋減価償却費増加による5年分合計の要求CFを考える。</t>
    <rPh sb="1" eb="3">
      <t>ヒヨウ</t>
    </rPh>
    <rPh sb="3" eb="5">
      <t>サクゲン</t>
    </rPh>
    <rPh sb="5" eb="6">
      <t>ガク</t>
    </rPh>
    <rPh sb="7" eb="9">
      <t>イッタン</t>
    </rPh>
    <rPh sb="9" eb="11">
      <t>ムシ</t>
    </rPh>
    <rPh sb="13" eb="15">
      <t>シュトク</t>
    </rPh>
    <rPh sb="15" eb="17">
      <t>ゲンカ</t>
    </rPh>
    <rPh sb="18" eb="20">
      <t>ゲンカ</t>
    </rPh>
    <rPh sb="20" eb="22">
      <t>ショウキャク</t>
    </rPh>
    <rPh sb="22" eb="23">
      <t>ヒ</t>
    </rPh>
    <rPh sb="23" eb="25">
      <t>ゾウカ</t>
    </rPh>
    <rPh sb="29" eb="31">
      <t>ネンブン</t>
    </rPh>
    <rPh sb="31" eb="33">
      <t>ゴウケイ</t>
    </rPh>
    <rPh sb="34" eb="36">
      <t>ヨウキュウ</t>
    </rPh>
    <rPh sb="39" eb="40">
      <t>カンガ</t>
    </rPh>
    <phoneticPr fontId="3"/>
  </si>
  <si>
    <t>←端数処理による微妙な差あり</t>
    <rPh sb="1" eb="3">
      <t>ハスウ</t>
    </rPh>
    <rPh sb="3" eb="5">
      <t>ショリ</t>
    </rPh>
    <rPh sb="8" eb="10">
      <t>ビミョウ</t>
    </rPh>
    <rPh sb="11" eb="12">
      <t>サ</t>
    </rPh>
    <phoneticPr fontId="3"/>
  </si>
  <si>
    <r>
      <t>感度分析・・</t>
    </r>
    <r>
      <rPr>
        <b/>
        <sz val="10"/>
        <color rgb="FFFF0000"/>
        <rFont val="游ゴシック"/>
        <family val="3"/>
        <charset val="128"/>
        <scheme val="minor"/>
      </rPr>
      <t>変動費｢率｣でなく、額から逆算して求める。恐らく初見パターンで、表を描いて計算条件を整理できた方は正解へ</t>
    </r>
    <rPh sb="0" eb="2">
      <t>カンド</t>
    </rPh>
    <rPh sb="2" eb="4">
      <t>ブンセキ</t>
    </rPh>
    <rPh sb="6" eb="8">
      <t>ヘンドウ</t>
    </rPh>
    <rPh sb="8" eb="9">
      <t>ヒ</t>
    </rPh>
    <rPh sb="10" eb="11">
      <t>リツ</t>
    </rPh>
    <rPh sb="16" eb="17">
      <t>ガク</t>
    </rPh>
    <rPh sb="19" eb="21">
      <t>ギャクサン</t>
    </rPh>
    <rPh sb="23" eb="24">
      <t>モト</t>
    </rPh>
    <rPh sb="27" eb="28">
      <t>オソ</t>
    </rPh>
    <rPh sb="30" eb="32">
      <t>ショケン</t>
    </rPh>
    <rPh sb="38" eb="39">
      <t>ヒョウ</t>
    </rPh>
    <rPh sb="40" eb="41">
      <t>カ</t>
    </rPh>
    <rPh sb="43" eb="45">
      <t>ケイサン</t>
    </rPh>
    <rPh sb="45" eb="47">
      <t>ジョウケン</t>
    </rPh>
    <rPh sb="48" eb="50">
      <t>セイリ</t>
    </rPh>
    <rPh sb="53" eb="54">
      <t>カタ</t>
    </rPh>
    <rPh sb="55" eb="57">
      <t>セイカイ</t>
    </rPh>
    <phoneticPr fontId="3"/>
  </si>
  <si>
    <t>B</t>
    <phoneticPr fontId="3"/>
  </si>
  <si>
    <t>(b)利益計画上の問題</t>
    <rPh sb="3" eb="5">
      <t>リエキ</t>
    </rPh>
    <rPh sb="5" eb="7">
      <t>ケイカク</t>
    </rPh>
    <rPh sb="7" eb="8">
      <t>ジョウ</t>
    </rPh>
    <rPh sb="9" eb="11">
      <t>モンダイ</t>
    </rPh>
    <phoneticPr fontId="3"/>
  </si>
  <si>
    <t>↑これは簿記の知識。できる人だけ分かるので、失点してもOK。</t>
    <rPh sb="4" eb="6">
      <t>ボキ</t>
    </rPh>
    <rPh sb="7" eb="9">
      <t>チシキ</t>
    </rPh>
    <rPh sb="13" eb="14">
      <t>ヒト</t>
    </rPh>
    <rPh sb="16" eb="17">
      <t>ワ</t>
    </rPh>
    <rPh sb="22" eb="24">
      <t>シッテン</t>
    </rPh>
    <phoneticPr fontId="3"/>
  </si>
  <si>
    <t>第1期の税引前利益が赤字のパターンは初見の筈なので、判断に悩む。</t>
    <rPh sb="0" eb="1">
      <t>ダイ</t>
    </rPh>
    <rPh sb="2" eb="3">
      <t>キ</t>
    </rPh>
    <rPh sb="4" eb="6">
      <t>ゼイビ</t>
    </rPh>
    <rPh sb="6" eb="7">
      <t>マエ</t>
    </rPh>
    <rPh sb="7" eb="9">
      <t>リエキ</t>
    </rPh>
    <rPh sb="10" eb="12">
      <t>アカジ</t>
    </rPh>
    <rPh sb="18" eb="20">
      <t>ショケン</t>
    </rPh>
    <rPh sb="21" eb="22">
      <t>ハズ</t>
    </rPh>
    <rPh sb="26" eb="28">
      <t>ハンダン</t>
    </rPh>
    <rPh sb="29" eb="30">
      <t>ナヤ</t>
    </rPh>
    <phoneticPr fontId="3"/>
  </si>
  <si>
    <t>理論で言うと税引前利益△7×0.3＝＋2.1がタックスシールドの効果になるので、△0.9が正解に。</t>
    <rPh sb="0" eb="2">
      <t>リロン</t>
    </rPh>
    <rPh sb="3" eb="4">
      <t>イ</t>
    </rPh>
    <rPh sb="6" eb="8">
      <t>ゼイビキ</t>
    </rPh>
    <rPh sb="8" eb="9">
      <t>マエ</t>
    </rPh>
    <rPh sb="9" eb="11">
      <t>リエキ</t>
    </rPh>
    <rPh sb="32" eb="34">
      <t>コウカ</t>
    </rPh>
    <rPh sb="45" eb="47">
      <t>セイカイ</t>
    </rPh>
    <phoneticPr fontId="3"/>
  </si>
  <si>
    <t>ただ多くの方が△3.0と解答する筈なので、間違えても気にしない。</t>
    <rPh sb="2" eb="3">
      <t>オオ</t>
    </rPh>
    <rPh sb="5" eb="6">
      <t>カタ</t>
    </rPh>
    <rPh sb="12" eb="14">
      <t>カイトウ</t>
    </rPh>
    <rPh sb="16" eb="17">
      <t>ハズ</t>
    </rPh>
    <rPh sb="21" eb="23">
      <t>マチガ</t>
    </rPh>
    <rPh sb="26" eb="27">
      <t>キ</t>
    </rPh>
    <phoneticPr fontId="3"/>
  </si>
  <si>
    <t>C</t>
    <phoneticPr fontId="3"/>
  </si>
  <si>
    <t>D</t>
    <phoneticPr fontId="3"/>
  </si>
  <si>
    <t>直接</t>
    <rPh sb="0" eb="2">
      <t>チョクセツ</t>
    </rPh>
    <phoneticPr fontId="3"/>
  </si>
  <si>
    <t>○</t>
    <phoneticPr fontId="3"/>
  </si>
  <si>
    <t>第2問(セグメント利益)</t>
    <rPh sb="0" eb="1">
      <t>ダイ</t>
    </rPh>
    <rPh sb="2" eb="3">
      <t>モン</t>
    </rPh>
    <rPh sb="9" eb="11">
      <t>リエキ</t>
    </rPh>
    <phoneticPr fontId="3"/>
  </si>
  <si>
    <t>E</t>
    <phoneticPr fontId="3"/>
  </si>
  <si>
    <t>回収期間法</t>
    <rPh sb="0" eb="2">
      <t>カイシュウ</t>
    </rPh>
    <rPh sb="2" eb="4">
      <t>キカン</t>
    </rPh>
    <rPh sb="4" eb="5">
      <t>ホウ</t>
    </rPh>
    <phoneticPr fontId="3"/>
  </si>
  <si>
    <t>×</t>
    <phoneticPr fontId="3"/>
  </si>
  <si>
    <t>感度分析～差額CFで考える</t>
    <rPh sb="0" eb="2">
      <t>カンド</t>
    </rPh>
    <rPh sb="2" eb="4">
      <t>ブンセキ</t>
    </rPh>
    <rPh sb="5" eb="7">
      <t>サガク</t>
    </rPh>
    <rPh sb="10" eb="11">
      <t>カンガ</t>
    </rPh>
    <phoneticPr fontId="3"/>
  </si>
  <si>
    <t>取得原価</t>
    <rPh sb="0" eb="2">
      <t>シュトク</t>
    </rPh>
    <rPh sb="2" eb="4">
      <t>ゲンカ</t>
    </rPh>
    <phoneticPr fontId="3"/>
  </si>
  <si>
    <t>←原材料削減率を後でxと置く</t>
    <rPh sb="1" eb="4">
      <t>ゲンザイリョウ</t>
    </rPh>
    <rPh sb="4" eb="6">
      <t>サクゲン</t>
    </rPh>
    <rPh sb="6" eb="7">
      <t>リツ</t>
    </rPh>
    <rPh sb="8" eb="9">
      <t>アト</t>
    </rPh>
    <rPh sb="12" eb="13">
      <t>オ</t>
    </rPh>
    <phoneticPr fontId="3"/>
  </si>
  <si>
    <r>
      <rPr>
        <sz val="10"/>
        <color theme="1"/>
        <rFont val="游ゴシック"/>
        <family val="3"/>
        <charset val="128"/>
      </rPr>
      <t>②</t>
    </r>
    <r>
      <rPr>
        <sz val="10"/>
        <color theme="1"/>
        <rFont val="游ゴシック"/>
        <family val="3"/>
        <charset val="128"/>
        <scheme val="minor"/>
      </rPr>
      <t>原材料＋労務費</t>
    </r>
    <rPh sb="1" eb="4">
      <t>ゲンザイリョウ</t>
    </rPh>
    <rPh sb="5" eb="8">
      <t>ロウムヒ</t>
    </rPh>
    <phoneticPr fontId="3"/>
  </si>
  <si>
    <t>PVに換算</t>
    <rPh sb="3" eb="5">
      <t>カンサン</t>
    </rPh>
    <phoneticPr fontId="3"/>
  </si>
  <si>
    <r>
      <rPr>
        <sz val="10"/>
        <color theme="1"/>
        <rFont val="游ゴシック"/>
        <family val="3"/>
        <charset val="128"/>
      </rPr>
      <t>③</t>
    </r>
    <r>
      <rPr>
        <sz val="10"/>
        <color theme="1"/>
        <rFont val="游ゴシック"/>
        <family val="3"/>
        <charset val="128"/>
        <scheme val="minor"/>
      </rPr>
      <t>その他＋販売費＋減価償却</t>
    </r>
    <rPh sb="3" eb="4">
      <t>タ</t>
    </rPh>
    <rPh sb="5" eb="8">
      <t>ハンバイヒ</t>
    </rPh>
    <rPh sb="9" eb="11">
      <t>ゲンカ</t>
    </rPh>
    <rPh sb="11" eb="13">
      <t>ショウキャク</t>
    </rPh>
    <phoneticPr fontId="3"/>
  </si>
  <si>
    <r>
      <rPr>
        <sz val="10"/>
        <color theme="1"/>
        <rFont val="游ゴシック"/>
        <family val="3"/>
        <charset val="128"/>
      </rPr>
      <t>④</t>
    </r>
    <r>
      <rPr>
        <sz val="10"/>
        <color theme="1"/>
        <rFont val="游ゴシック"/>
        <family val="3"/>
        <charset val="128"/>
        <scheme val="minor"/>
      </rPr>
      <t>減価償却費</t>
    </r>
    <rPh sb="1" eb="3">
      <t>ゲンカ</t>
    </rPh>
    <rPh sb="3" eb="5">
      <t>ショウキャク</t>
    </rPh>
    <rPh sb="5" eb="6">
      <t>ヒ</t>
    </rPh>
    <phoneticPr fontId="3"/>
  </si>
  <si>
    <t>①～③は税引後の×0.7で計算している。</t>
    <rPh sb="4" eb="6">
      <t>ゼイビキ</t>
    </rPh>
    <rPh sb="6" eb="7">
      <t>ゴ</t>
    </rPh>
    <rPh sb="13" eb="15">
      <t>ケイサン</t>
    </rPh>
    <phoneticPr fontId="3"/>
  </si>
  <si>
    <t>x となるxを求める</t>
    <rPh sb="7" eb="8">
      <t>モト</t>
    </rPh>
    <phoneticPr fontId="3"/>
  </si>
  <si>
    <t>x=</t>
    <phoneticPr fontId="3"/>
  </si>
  <si>
    <t>TAC</t>
    <phoneticPr fontId="3"/>
  </si>
  <si>
    <t>売上高総利益率</t>
    <rPh sb="0" eb="2">
      <t>ウリアゲ</t>
    </rPh>
    <rPh sb="2" eb="3">
      <t>ダカ</t>
    </rPh>
    <rPh sb="3" eb="7">
      <t>ソウリエキリツ</t>
    </rPh>
    <phoneticPr fontId="3"/>
  </si>
  <si>
    <t>当座比率</t>
    <rPh sb="0" eb="2">
      <t>トウザ</t>
    </rPh>
    <rPh sb="2" eb="4">
      <t>ヒリツ</t>
    </rPh>
    <phoneticPr fontId="3"/>
  </si>
  <si>
    <t>有形固定資産回転率</t>
    <rPh sb="0" eb="6">
      <t>ユウケイコテイシサン</t>
    </rPh>
    <rPh sb="6" eb="8">
      <t>カイテン</t>
    </rPh>
    <rPh sb="8" eb="9">
      <t>リツ</t>
    </rPh>
    <phoneticPr fontId="3"/>
  </si>
  <si>
    <t>大原</t>
    <rPh sb="0" eb="2">
      <t>オオハラ</t>
    </rPh>
    <phoneticPr fontId="3"/>
  </si>
  <si>
    <t>ＴＢＣ</t>
    <phoneticPr fontId="3"/>
  </si>
  <si>
    <t>棚卸資産回転率</t>
    <rPh sb="0" eb="2">
      <t>タナオロシ</t>
    </rPh>
    <rPh sb="2" eb="4">
      <t>シサン</t>
    </rPh>
    <rPh sb="4" eb="6">
      <t>カイテン</t>
    </rPh>
    <rPh sb="6" eb="7">
      <t>リツ</t>
    </rPh>
    <phoneticPr fontId="3"/>
  </si>
  <si>
    <t>ＡＡＳ東京</t>
    <rPh sb="3" eb="5">
      <t>トウキョウ</t>
    </rPh>
    <phoneticPr fontId="3"/>
  </si>
  <si>
    <t>ＡＡＳ関西</t>
    <rPh sb="3" eb="5">
      <t>カンサイ</t>
    </rPh>
    <phoneticPr fontId="3"/>
  </si>
  <si>
    <t>回答</t>
    <rPh sb="0" eb="2">
      <t>カイトウ</t>
    </rPh>
    <phoneticPr fontId="3"/>
  </si>
  <si>
    <t>補足</t>
    <rPh sb="0" eb="2">
      <t>ホソク</t>
    </rPh>
    <phoneticPr fontId="3"/>
  </si>
  <si>
    <t>棚卸資産回転率or当座比率</t>
    <rPh sb="0" eb="4">
      <t>タナオロシシサン</t>
    </rPh>
    <rPh sb="4" eb="6">
      <t>カイテン</t>
    </rPh>
    <rPh sb="6" eb="7">
      <t>リツ</t>
    </rPh>
    <rPh sb="9" eb="11">
      <t>トウザ</t>
    </rPh>
    <rPh sb="11" eb="13">
      <t>ヒリツ</t>
    </rPh>
    <phoneticPr fontId="3"/>
  </si>
  <si>
    <t>【回答例】</t>
    <rPh sb="1" eb="3">
      <t>カイトウ</t>
    </rPh>
    <rPh sb="3" eb="4">
      <t>レイ</t>
    </rPh>
    <phoneticPr fontId="3"/>
  </si>
  <si>
    <t>建材価格上昇で収益性が低下し非効率な調達で棚卸資産が増加する中、受注増で固定資産の効率性が向上した。</t>
    <rPh sb="0" eb="2">
      <t>ケンザイ</t>
    </rPh>
    <rPh sb="2" eb="4">
      <t>カカク</t>
    </rPh>
    <rPh sb="4" eb="6">
      <t>ジョウショウ</t>
    </rPh>
    <phoneticPr fontId="3"/>
  </si>
  <si>
    <r>
      <t>(1)経営分析</t>
    </r>
    <r>
      <rPr>
        <b/>
        <sz val="10"/>
        <color rgb="FF0000FF"/>
        <rFont val="游ゴシック"/>
        <family val="3"/>
        <charset val="128"/>
        <scheme val="minor"/>
      </rPr>
      <t>（ランク：Ｂ）</t>
    </r>
    <rPh sb="3" eb="5">
      <t>ケイエイ</t>
    </rPh>
    <rPh sb="5" eb="7">
      <t>ブンセキ</t>
    </rPh>
    <phoneticPr fontId="3"/>
  </si>
  <si>
    <r>
      <t>(2)財政状態及び経営成績の他社比で良い点＋課題</t>
    </r>
    <r>
      <rPr>
        <b/>
        <sz val="10"/>
        <color rgb="FF0000FF"/>
        <rFont val="游ゴシック"/>
        <family val="3"/>
        <charset val="128"/>
        <scheme val="minor"/>
      </rPr>
      <t>（ランク：Ｃ）</t>
    </r>
    <rPh sb="3" eb="5">
      <t>ザイセイ</t>
    </rPh>
    <rPh sb="5" eb="7">
      <t>ジョウタイ</t>
    </rPh>
    <rPh sb="7" eb="8">
      <t>オヨ</t>
    </rPh>
    <rPh sb="9" eb="11">
      <t>ケイエイ</t>
    </rPh>
    <rPh sb="11" eb="13">
      <t>セイセキ</t>
    </rPh>
    <rPh sb="14" eb="16">
      <t>タシャ</t>
    </rPh>
    <rPh sb="16" eb="17">
      <t>ヒ</t>
    </rPh>
    <rPh sb="18" eb="19">
      <t>ヨ</t>
    </rPh>
    <rPh sb="20" eb="21">
      <t>テン</t>
    </rPh>
    <rPh sb="22" eb="24">
      <t>カダイ</t>
    </rPh>
    <phoneticPr fontId="3"/>
  </si>
  <si>
    <t>(1)経営分析（ランク：Ｂ）</t>
    <phoneticPr fontId="3"/>
  </si>
  <si>
    <t>多数決</t>
    <rPh sb="0" eb="3">
      <t>タスウケツ</t>
    </rPh>
    <phoneticPr fontId="3"/>
  </si>
  <si>
    <t>(2)財政状態及び経営成績の他社比で良い点＋課題（ランク：Ｃ）</t>
    <phoneticPr fontId="3"/>
  </si>
  <si>
    <t>ランクＢの理由</t>
    <rPh sb="5" eb="7">
      <t>リユウ</t>
    </rPh>
    <phoneticPr fontId="3"/>
  </si>
  <si>
    <t>「棚卸資産」を「運転資本」に変えることで指標の組み換えに対応できる。</t>
    <rPh sb="1" eb="3">
      <t>タナオロシ</t>
    </rPh>
    <rPh sb="3" eb="5">
      <t>シサン</t>
    </rPh>
    <rPh sb="8" eb="10">
      <t>ウンテン</t>
    </rPh>
    <rPh sb="10" eb="12">
      <t>シホン</t>
    </rPh>
    <rPh sb="14" eb="15">
      <t>カ</t>
    </rPh>
    <rPh sb="20" eb="22">
      <t>シヒョウ</t>
    </rPh>
    <rPh sb="23" eb="24">
      <t>ク</t>
    </rPh>
    <rPh sb="25" eb="26">
      <t>カ</t>
    </rPh>
    <rPh sb="28" eb="30">
      <t>タイオウ</t>
    </rPh>
    <phoneticPr fontId="3"/>
  </si>
  <si>
    <t>各予備校が取り上げた指標がほとんど同じ。
ここまで被ると逆に珍しい。
実際の受験生でも上記以外の指標を選択をした方はほぼいないと思われる。</t>
    <rPh sb="0" eb="1">
      <t>カク</t>
    </rPh>
    <rPh sb="1" eb="4">
      <t>ヨビコウ</t>
    </rPh>
    <rPh sb="5" eb="6">
      <t>ト</t>
    </rPh>
    <rPh sb="7" eb="8">
      <t>ア</t>
    </rPh>
    <rPh sb="10" eb="12">
      <t>シヒョウ</t>
    </rPh>
    <rPh sb="17" eb="18">
      <t>オナ</t>
    </rPh>
    <rPh sb="25" eb="26">
      <t>カブ</t>
    </rPh>
    <rPh sb="28" eb="29">
      <t>ギャク</t>
    </rPh>
    <rPh sb="30" eb="31">
      <t>メズラ</t>
    </rPh>
    <rPh sb="35" eb="37">
      <t>ジッサイ</t>
    </rPh>
    <rPh sb="38" eb="40">
      <t>ジュケン</t>
    </rPh>
    <rPh sb="40" eb="41">
      <t>セイ</t>
    </rPh>
    <rPh sb="43" eb="45">
      <t>ジョウキ</t>
    </rPh>
    <rPh sb="45" eb="47">
      <t>イガイ</t>
    </rPh>
    <rPh sb="48" eb="50">
      <t>シヒョウ</t>
    </rPh>
    <rPh sb="51" eb="53">
      <t>センタク</t>
    </rPh>
    <rPh sb="56" eb="57">
      <t>カタ</t>
    </rPh>
    <rPh sb="64" eb="65">
      <t>オモ</t>
    </rPh>
    <phoneticPr fontId="3"/>
  </si>
  <si>
    <t>ポイント</t>
    <phoneticPr fontId="3"/>
  </si>
  <si>
    <t>設問１で取り上げた指標について、与件の定性情報を中心にコピペする。</t>
    <rPh sb="0" eb="2">
      <t>セツモン</t>
    </rPh>
    <rPh sb="4" eb="5">
      <t>ト</t>
    </rPh>
    <rPh sb="6" eb="7">
      <t>ア</t>
    </rPh>
    <rPh sb="9" eb="11">
      <t>シヒョウ</t>
    </rPh>
    <rPh sb="16" eb="18">
      <t>ヨケン</t>
    </rPh>
    <rPh sb="19" eb="21">
      <t>テイセイ</t>
    </rPh>
    <rPh sb="21" eb="23">
      <t>ジョウホウ</t>
    </rPh>
    <rPh sb="24" eb="26">
      <t>チュウシン</t>
    </rPh>
    <phoneticPr fontId="3"/>
  </si>
  <si>
    <t>与件の定性情報や財務諸表、設問２で読み取れる事業規模などの定量情報から「建材事業での変化点」に関する指標を取り上げる。</t>
    <rPh sb="0" eb="2">
      <t>ヨケン</t>
    </rPh>
    <rPh sb="3" eb="5">
      <t>テイセイ</t>
    </rPh>
    <rPh sb="5" eb="7">
      <t>ジョウホウ</t>
    </rPh>
    <rPh sb="8" eb="12">
      <t>ザイムショヒョウ</t>
    </rPh>
    <rPh sb="13" eb="15">
      <t>セツモン</t>
    </rPh>
    <rPh sb="17" eb="18">
      <t>ヨ</t>
    </rPh>
    <rPh sb="19" eb="20">
      <t>ト</t>
    </rPh>
    <rPh sb="22" eb="24">
      <t>ジギョウ</t>
    </rPh>
    <rPh sb="24" eb="26">
      <t>キボ</t>
    </rPh>
    <rPh sb="29" eb="31">
      <t>テイリョウ</t>
    </rPh>
    <rPh sb="31" eb="33">
      <t>ジョウホウ</t>
    </rPh>
    <rPh sb="36" eb="38">
      <t>ケンザイ</t>
    </rPh>
    <rPh sb="38" eb="40">
      <t>ジギョウ</t>
    </rPh>
    <rPh sb="42" eb="44">
      <t>ヘンカ</t>
    </rPh>
    <rPh sb="44" eb="45">
      <t>テン</t>
    </rPh>
    <rPh sb="47" eb="48">
      <t>カン</t>
    </rPh>
    <rPh sb="50" eb="52">
      <t>シヒョウ</t>
    </rPh>
    <rPh sb="53" eb="54">
      <t>ト</t>
    </rPh>
    <rPh sb="55" eb="56">
      <t>ア</t>
    </rPh>
    <phoneticPr fontId="3"/>
  </si>
  <si>
    <t>棚卸資産回転率or当座比率</t>
    <rPh sb="0" eb="2">
      <t>タナオロシ</t>
    </rPh>
    <rPh sb="2" eb="4">
      <t>シサン</t>
    </rPh>
    <rPh sb="4" eb="6">
      <t>カイテン</t>
    </rPh>
    <rPh sb="6" eb="7">
      <t>リツ</t>
    </rPh>
    <rPh sb="9" eb="11">
      <t>トウザ</t>
    </rPh>
    <rPh sb="11" eb="13">
      <t>ヒリツ</t>
    </rPh>
    <phoneticPr fontId="3"/>
  </si>
  <si>
    <r>
      <t xml:space="preserve">(設問1～2)はテキストレベルの易問で、落ち着いて計算すれば大丈夫。※端数処理による微妙な点差あり </t>
    </r>
    <r>
      <rPr>
        <b/>
        <sz val="10"/>
        <color rgb="FF0000FF"/>
        <rFont val="游ゴシック"/>
        <family val="3"/>
        <charset val="128"/>
        <scheme val="minor"/>
      </rPr>
      <t>（設問１ランク：B、設問２ランクB※記述のみC）</t>
    </r>
    <rPh sb="1" eb="3">
      <t>セツモン</t>
    </rPh>
    <rPh sb="16" eb="17">
      <t>エキ</t>
    </rPh>
    <rPh sb="17" eb="18">
      <t>モン</t>
    </rPh>
    <rPh sb="20" eb="21">
      <t>オ</t>
    </rPh>
    <rPh sb="22" eb="23">
      <t>ツ</t>
    </rPh>
    <rPh sb="25" eb="27">
      <t>ケイサン</t>
    </rPh>
    <rPh sb="30" eb="33">
      <t>ダイジョウブ</t>
    </rPh>
    <rPh sb="35" eb="37">
      <t>ハスウ</t>
    </rPh>
    <rPh sb="37" eb="39">
      <t>ショリ</t>
    </rPh>
    <rPh sb="42" eb="44">
      <t>ビミョウ</t>
    </rPh>
    <rPh sb="45" eb="47">
      <t>テンサ</t>
    </rPh>
    <rPh sb="51" eb="53">
      <t>セツモン</t>
    </rPh>
    <rPh sb="60" eb="62">
      <t>セツモン</t>
    </rPh>
    <rPh sb="68" eb="70">
      <t>キジュツ</t>
    </rPh>
    <phoneticPr fontId="3"/>
  </si>
  <si>
    <r>
      <t>(設問3)は過去の類題がなく多くの方に初見の筈で、落ち着いて①全社の変動費額→②建材事業部の変動費額→③〃 率の順に計算を当てると＋10点。</t>
    </r>
    <r>
      <rPr>
        <b/>
        <sz val="10"/>
        <color rgb="FF0000FF"/>
        <rFont val="游ゴシック"/>
        <family val="3"/>
        <charset val="128"/>
        <scheme val="minor"/>
      </rPr>
      <t>（ランク：Ｃ）</t>
    </r>
    <rPh sb="1" eb="3">
      <t>セツモン</t>
    </rPh>
    <rPh sb="6" eb="8">
      <t>カコ</t>
    </rPh>
    <rPh sb="9" eb="11">
      <t>ルイダイ</t>
    </rPh>
    <rPh sb="14" eb="15">
      <t>オオ</t>
    </rPh>
    <rPh sb="17" eb="18">
      <t>カタ</t>
    </rPh>
    <rPh sb="19" eb="21">
      <t>ショケン</t>
    </rPh>
    <rPh sb="22" eb="23">
      <t>ハズ</t>
    </rPh>
    <rPh sb="25" eb="26">
      <t>オ</t>
    </rPh>
    <rPh sb="27" eb="28">
      <t>ツ</t>
    </rPh>
    <rPh sb="31" eb="33">
      <t>ゼンシャ</t>
    </rPh>
    <rPh sb="34" eb="36">
      <t>ヘンドウ</t>
    </rPh>
    <rPh sb="36" eb="37">
      <t>ヒ</t>
    </rPh>
    <rPh sb="37" eb="38">
      <t>ガク</t>
    </rPh>
    <rPh sb="40" eb="42">
      <t>ケンザイ</t>
    </rPh>
    <rPh sb="42" eb="44">
      <t>ジギョウ</t>
    </rPh>
    <rPh sb="44" eb="45">
      <t>ブ</t>
    </rPh>
    <rPh sb="46" eb="48">
      <t>ヘンドウ</t>
    </rPh>
    <rPh sb="48" eb="49">
      <t>ヒ</t>
    </rPh>
    <rPh sb="49" eb="50">
      <t>ガク</t>
    </rPh>
    <rPh sb="54" eb="55">
      <t>リツ</t>
    </rPh>
    <rPh sb="56" eb="57">
      <t>ジュン</t>
    </rPh>
    <rPh sb="58" eb="60">
      <t>ケイサン</t>
    </rPh>
    <rPh sb="61" eb="62">
      <t>ア</t>
    </rPh>
    <rPh sb="68" eb="69">
      <t>テン</t>
    </rPh>
    <phoneticPr fontId="3"/>
  </si>
  <si>
    <t>(b)利益計画上の問題（ランク：Ｃ）</t>
    <phoneticPr fontId="3"/>
  </si>
  <si>
    <t>事業ごとの貢献利益率が大きく異なる点に着目し、CVP分析を用いて売上高や販売量などの定量的な目標の設定する場合、どのような不都合があるのかを端的に述べる。</t>
    <rPh sb="0" eb="2">
      <t>ジギョウ</t>
    </rPh>
    <rPh sb="5" eb="7">
      <t>コウケン</t>
    </rPh>
    <rPh sb="7" eb="9">
      <t>リエキ</t>
    </rPh>
    <rPh sb="9" eb="10">
      <t>リツ</t>
    </rPh>
    <rPh sb="11" eb="12">
      <t>オオ</t>
    </rPh>
    <rPh sb="14" eb="15">
      <t>コト</t>
    </rPh>
    <rPh sb="17" eb="18">
      <t>テン</t>
    </rPh>
    <rPh sb="19" eb="21">
      <t>チャクモク</t>
    </rPh>
    <rPh sb="26" eb="28">
      <t>ブンセキ</t>
    </rPh>
    <rPh sb="29" eb="30">
      <t>モチ</t>
    </rPh>
    <rPh sb="32" eb="34">
      <t>ウリアゲ</t>
    </rPh>
    <rPh sb="34" eb="35">
      <t>ダカ</t>
    </rPh>
    <rPh sb="36" eb="38">
      <t>ハンバイ</t>
    </rPh>
    <rPh sb="38" eb="39">
      <t>リョウ</t>
    </rPh>
    <rPh sb="42" eb="45">
      <t>テイリョウテキ</t>
    </rPh>
    <rPh sb="46" eb="48">
      <t>モクヒョウ</t>
    </rPh>
    <rPh sb="49" eb="51">
      <t>セッテイ</t>
    </rPh>
    <rPh sb="53" eb="55">
      <t>バアイ</t>
    </rPh>
    <rPh sb="61" eb="64">
      <t>フツゴウ</t>
    </rPh>
    <rPh sb="70" eb="72">
      <t>タンテキ</t>
    </rPh>
    <rPh sb="73" eb="74">
      <t>ノ</t>
    </rPh>
    <phoneticPr fontId="3"/>
  </si>
  <si>
    <t>建材価格上昇で収益性が低下し非効率な調達で棚卸資産が増加する中、受注増で固定資産の効率性が向上した。</t>
    <phoneticPr fontId="3"/>
  </si>
  <si>
    <t>ランクCの理由</t>
    <rPh sb="5" eb="7">
      <t>リユウ</t>
    </rPh>
    <phoneticPr fontId="3"/>
  </si>
  <si>
    <r>
      <t>(設問1～2)までは、基本的な税引後CFを計算させる基本問題。</t>
    </r>
    <r>
      <rPr>
        <b/>
        <sz val="10"/>
        <color rgb="FF0000FF"/>
        <rFont val="游ゴシック"/>
        <family val="3"/>
        <charset val="128"/>
        <scheme val="minor"/>
      </rPr>
      <t>（ランク：B）</t>
    </r>
    <rPh sb="1" eb="3">
      <t>セツモン</t>
    </rPh>
    <rPh sb="11" eb="14">
      <t>キホンテキ</t>
    </rPh>
    <rPh sb="15" eb="17">
      <t>ゼイビキ</t>
    </rPh>
    <rPh sb="17" eb="18">
      <t>ゴ</t>
    </rPh>
    <rPh sb="21" eb="23">
      <t>ケイサン</t>
    </rPh>
    <rPh sb="26" eb="28">
      <t>キホン</t>
    </rPh>
    <rPh sb="28" eb="30">
      <t>モンダイ</t>
    </rPh>
    <phoneticPr fontId="3"/>
  </si>
  <si>
    <r>
      <t>(設問3)は差額CFを用いた初見の感度分析となるので、ムキにならず後回しにしてOK</t>
    </r>
    <r>
      <rPr>
        <b/>
        <sz val="10"/>
        <color rgb="FF0000FF"/>
        <rFont val="游ゴシック"/>
        <family val="3"/>
        <charset val="128"/>
        <scheme val="minor"/>
      </rPr>
      <t>（ランク：D）</t>
    </r>
    <rPh sb="1" eb="3">
      <t>セツモン</t>
    </rPh>
    <rPh sb="6" eb="8">
      <t>サガク</t>
    </rPh>
    <rPh sb="11" eb="12">
      <t>モチ</t>
    </rPh>
    <rPh sb="14" eb="16">
      <t>ショケン</t>
    </rPh>
    <rPh sb="17" eb="19">
      <t>カンド</t>
    </rPh>
    <rPh sb="19" eb="21">
      <t>ブンセキ</t>
    </rPh>
    <rPh sb="33" eb="35">
      <t>アトマワ</t>
    </rPh>
    <phoneticPr fontId="3"/>
  </si>
  <si>
    <t>計算する技能があっても、知識がないと初見で回答することが難しい。
また字数制限が厳しく、よくわからないけど保険の「キーワード」を詰込む甘えを許さない。</t>
    <rPh sb="0" eb="2">
      <t>ケイサン</t>
    </rPh>
    <rPh sb="4" eb="6">
      <t>ギノウ</t>
    </rPh>
    <rPh sb="12" eb="14">
      <t>チシキ</t>
    </rPh>
    <rPh sb="18" eb="20">
      <t>ショケン</t>
    </rPh>
    <rPh sb="21" eb="23">
      <t>カイトウ</t>
    </rPh>
    <rPh sb="28" eb="29">
      <t>ムズカ</t>
    </rPh>
    <rPh sb="35" eb="37">
      <t>ジスウ</t>
    </rPh>
    <rPh sb="37" eb="39">
      <t>セイゲン</t>
    </rPh>
    <rPh sb="40" eb="41">
      <t>キビ</t>
    </rPh>
    <rPh sb="53" eb="55">
      <t>ホケン</t>
    </rPh>
    <rPh sb="64" eb="66">
      <t>ツメコ</t>
    </rPh>
    <rPh sb="67" eb="68">
      <t>アマ</t>
    </rPh>
    <rPh sb="70" eb="71">
      <t>ユル</t>
    </rPh>
    <phoneticPr fontId="3"/>
  </si>
  <si>
    <t>第4問</t>
    <phoneticPr fontId="3"/>
  </si>
  <si>
    <t>(設問2)EDI導入による財務的な効果（ランク：B）</t>
    <rPh sb="1" eb="3">
      <t>セツモン</t>
    </rPh>
    <rPh sb="8" eb="10">
      <t>ドウニュウ</t>
    </rPh>
    <rPh sb="13" eb="16">
      <t>ザイムテキ</t>
    </rPh>
    <rPh sb="17" eb="19">
      <t>コウカ</t>
    </rPh>
    <phoneticPr fontId="3"/>
  </si>
  <si>
    <t>問１で
棚卸資産回転率を指摘：情報共有化で実需に見合った調達ができるため棚卸資産圧縮で効率性が向上し、効率的な配送によるコスト減で収益性が向上がする。
当座比率を指摘：情報共有化で実需に見合った調達ができ恒常的な運転資本減少で安全性が改善し、効率的な配送によるコスト減で収益性が向上する。</t>
    <rPh sb="0" eb="1">
      <t>トイ</t>
    </rPh>
    <rPh sb="4" eb="6">
      <t>タナオロシ</t>
    </rPh>
    <rPh sb="6" eb="8">
      <t>シサン</t>
    </rPh>
    <rPh sb="8" eb="11">
      <t>カイテンリツ</t>
    </rPh>
    <rPh sb="12" eb="14">
      <t>シテキ</t>
    </rPh>
    <rPh sb="76" eb="78">
      <t>トウザ</t>
    </rPh>
    <rPh sb="78" eb="80">
      <t>ヒリツ</t>
    </rPh>
    <rPh sb="81" eb="83">
      <t>シテキ</t>
    </rPh>
    <phoneticPr fontId="3"/>
  </si>
  <si>
    <t>問１に記述した指標が改善されることを与件情報+〇〇性で書けばOK。</t>
    <rPh sb="0" eb="1">
      <t>トイ</t>
    </rPh>
    <rPh sb="3" eb="5">
      <t>キジュツ</t>
    </rPh>
    <rPh sb="7" eb="9">
      <t>シヒョウ</t>
    </rPh>
    <rPh sb="10" eb="12">
      <t>カイゼン</t>
    </rPh>
    <rPh sb="18" eb="20">
      <t>ヨケン</t>
    </rPh>
    <rPh sb="20" eb="22">
      <t>ジョウホウ</t>
    </rPh>
    <rPh sb="25" eb="26">
      <t>セイ</t>
    </rPh>
    <rPh sb="27" eb="28">
      <t>カ</t>
    </rPh>
    <phoneticPr fontId="3"/>
  </si>
  <si>
    <t>情報共有化で実需に見合った調達ができるため棚卸資産圧縮で効率性が向上し、効率的な配送によるコスト減で収益性が向上がする。</t>
    <phoneticPr fontId="3"/>
  </si>
  <si>
    <t>(設問１)連結子会社としていることのメリット（a）、デメリット（b）（ランク：C）</t>
    <rPh sb="1" eb="3">
      <t>セツモン</t>
    </rPh>
    <rPh sb="5" eb="7">
      <t>レンケツ</t>
    </rPh>
    <rPh sb="7" eb="10">
      <t>コガイシャ</t>
    </rPh>
    <phoneticPr fontId="3"/>
  </si>
  <si>
    <t>ランクBの理由</t>
    <rPh sb="5" eb="7">
      <t>リユウ</t>
    </rPh>
    <phoneticPr fontId="3"/>
  </si>
  <si>
    <t>問１設問２の特徴と矛盾が生じていなければほとんどコピペで満点近い点数が取れると想定される。
矛盾が生じる例として、棚卸資産の増加を販売用不動産が不振のせいだ！と書いてしまうことなどが考えられる。</t>
    <rPh sb="0" eb="1">
      <t>トイ</t>
    </rPh>
    <rPh sb="2" eb="4">
      <t>セツモン</t>
    </rPh>
    <rPh sb="6" eb="8">
      <t>トクチョウ</t>
    </rPh>
    <rPh sb="9" eb="11">
      <t>ムジュン</t>
    </rPh>
    <rPh sb="12" eb="13">
      <t>ショウ</t>
    </rPh>
    <rPh sb="28" eb="30">
      <t>マンテン</t>
    </rPh>
    <rPh sb="30" eb="31">
      <t>チカ</t>
    </rPh>
    <rPh sb="32" eb="34">
      <t>テンスウ</t>
    </rPh>
    <rPh sb="35" eb="36">
      <t>ト</t>
    </rPh>
    <rPh sb="39" eb="41">
      <t>ソウテイ</t>
    </rPh>
    <rPh sb="46" eb="48">
      <t>ムジュン</t>
    </rPh>
    <rPh sb="49" eb="50">
      <t>ショウ</t>
    </rPh>
    <rPh sb="52" eb="53">
      <t>レイ</t>
    </rPh>
    <rPh sb="57" eb="59">
      <t>タナオロシ</t>
    </rPh>
    <rPh sb="59" eb="61">
      <t>シサン</t>
    </rPh>
    <rPh sb="62" eb="64">
      <t>ゾウカ</t>
    </rPh>
    <rPh sb="65" eb="68">
      <t>ハンバイヨウ</t>
    </rPh>
    <rPh sb="68" eb="71">
      <t>フドウサン</t>
    </rPh>
    <rPh sb="72" eb="74">
      <t>フシン</t>
    </rPh>
    <rPh sb="80" eb="81">
      <t>カ</t>
    </rPh>
    <rPh sb="91" eb="92">
      <t>カンガ</t>
    </rPh>
    <phoneticPr fontId="3"/>
  </si>
  <si>
    <t>ホームランを打てるかは神のみぞ知るが、一般論に近いことも含めて複数解釈が考えられるため幅広く加点されることが想定できるから。</t>
    <rPh sb="6" eb="7">
      <t>ウ</t>
    </rPh>
    <rPh sb="11" eb="12">
      <t>カミ</t>
    </rPh>
    <rPh sb="15" eb="16">
      <t>シ</t>
    </rPh>
    <rPh sb="19" eb="21">
      <t>イッパン</t>
    </rPh>
    <rPh sb="21" eb="22">
      <t>ロン</t>
    </rPh>
    <rPh sb="23" eb="24">
      <t>チカ</t>
    </rPh>
    <rPh sb="28" eb="29">
      <t>フク</t>
    </rPh>
    <rPh sb="31" eb="33">
      <t>フクスウ</t>
    </rPh>
    <rPh sb="33" eb="35">
      <t>カイシャク</t>
    </rPh>
    <rPh sb="36" eb="37">
      <t>カンガ</t>
    </rPh>
    <rPh sb="43" eb="45">
      <t>ハバヒロ</t>
    </rPh>
    <rPh sb="46" eb="48">
      <t>カテン</t>
    </rPh>
    <rPh sb="54" eb="56">
      <t>ソウテイ</t>
    </rPh>
    <phoneticPr fontId="3"/>
  </si>
  <si>
    <t>メリット（a）：配送事業の独立採算が明瞭となり、改善効果を測定しやすい。　　　　　　　　　</t>
  </si>
  <si>
    <t>デメリット（b）：タイムリーな建材配送が子会社のインセンティブにならないこと。</t>
  </si>
  <si>
    <t>設問１（ランク：C）</t>
    <rPh sb="0" eb="2">
      <t>セツモン</t>
    </rPh>
    <phoneticPr fontId="3"/>
  </si>
  <si>
    <t>設問２（ランク：B）</t>
    <phoneticPr fontId="3"/>
  </si>
  <si>
    <t>設問１</t>
  </si>
  <si>
    <t>設問２</t>
  </si>
  <si>
    <r>
      <t xml:space="preserve">メリット（a）：配送業務の専門性が強化され、配送コストの削減に貢献すること。　　　　　　　　　
</t>
    </r>
    <r>
      <rPr>
        <sz val="10"/>
        <color theme="1"/>
        <rFont val="游ゴシック"/>
        <family val="3"/>
        <charset val="128"/>
        <scheme val="minor"/>
      </rPr>
      <t>デメリット（b）：タイムリーな建材配送が子会社のインセンティブにならないこと。</t>
    </r>
    <rPh sb="8" eb="10">
      <t>ハイソウ</t>
    </rPh>
    <rPh sb="10" eb="12">
      <t>ギョウム</t>
    </rPh>
    <rPh sb="13" eb="16">
      <t>センモンセイ</t>
    </rPh>
    <rPh sb="17" eb="19">
      <t>キョウカ</t>
    </rPh>
    <rPh sb="22" eb="24">
      <t>ハイソウ</t>
    </rPh>
    <rPh sb="28" eb="30">
      <t>サクゲン</t>
    </rPh>
    <rPh sb="31" eb="33">
      <t>コウケン</t>
    </rPh>
    <phoneticPr fontId="3"/>
  </si>
  <si>
    <t>一般論でも書ける内容のため、筆が走ってしまいがちだが間違っても組織論に傾注しすぎないこと。</t>
    <rPh sb="0" eb="2">
      <t>イッパン</t>
    </rPh>
    <rPh sb="2" eb="3">
      <t>ロン</t>
    </rPh>
    <rPh sb="5" eb="6">
      <t>カ</t>
    </rPh>
    <rPh sb="8" eb="10">
      <t>ナイヨウ</t>
    </rPh>
    <rPh sb="14" eb="15">
      <t>フデ</t>
    </rPh>
    <rPh sb="16" eb="17">
      <t>ハシ</t>
    </rPh>
    <rPh sb="26" eb="28">
      <t>マチガ</t>
    </rPh>
    <rPh sb="31" eb="33">
      <t>ソシキ</t>
    </rPh>
    <rPh sb="33" eb="34">
      <t>ロン</t>
    </rPh>
    <rPh sb="35" eb="37">
      <t>ケイチュウ</t>
    </rPh>
    <phoneticPr fontId="3"/>
  </si>
  <si>
    <t>みんなが大好き（与件情報）+〇〇性が悪化（好転）した。
のテンプレ活用が字数の制約で難しい。
与件には思わず使いたくなる情報が豊富に用意され、ブービートラップが数多く仕掛けられている。
罠に引っかかると、最後のポエムで改善される方向性とは異なる記述になりやすい。
このため、設問２から判断できる事業の規模感や最後の記述の方向性を踏まえた回答ができた方とそうでない方で点差が生じると思われるため。</t>
    <rPh sb="4" eb="6">
      <t>ダイス</t>
    </rPh>
    <rPh sb="8" eb="10">
      <t>ヨケン</t>
    </rPh>
    <rPh sb="10" eb="12">
      <t>ジョウホウ</t>
    </rPh>
    <rPh sb="16" eb="17">
      <t>セイ</t>
    </rPh>
    <rPh sb="18" eb="20">
      <t>アッカ</t>
    </rPh>
    <rPh sb="21" eb="23">
      <t>コウテン</t>
    </rPh>
    <rPh sb="33" eb="35">
      <t>カツヨウ</t>
    </rPh>
    <rPh sb="42" eb="43">
      <t>ムズカ</t>
    </rPh>
    <rPh sb="47" eb="49">
      <t>ヨケン</t>
    </rPh>
    <rPh sb="51" eb="52">
      <t>オモ</t>
    </rPh>
    <rPh sb="54" eb="55">
      <t>ツカ</t>
    </rPh>
    <rPh sb="60" eb="62">
      <t>ジョウホウ</t>
    </rPh>
    <rPh sb="63" eb="65">
      <t>ホウフ</t>
    </rPh>
    <rPh sb="66" eb="68">
      <t>ヨウイ</t>
    </rPh>
    <rPh sb="80" eb="81">
      <t>カズ</t>
    </rPh>
    <rPh sb="81" eb="82">
      <t>オオ</t>
    </rPh>
    <rPh sb="83" eb="85">
      <t>シカ</t>
    </rPh>
    <rPh sb="93" eb="94">
      <t>ワナ</t>
    </rPh>
    <rPh sb="95" eb="96">
      <t>ヒ</t>
    </rPh>
    <rPh sb="102" eb="104">
      <t>サイゴ</t>
    </rPh>
    <rPh sb="109" eb="111">
      <t>カイゼン</t>
    </rPh>
    <rPh sb="114" eb="117">
      <t>ホウコウセイ</t>
    </rPh>
    <rPh sb="119" eb="120">
      <t>コト</t>
    </rPh>
    <rPh sb="122" eb="124">
      <t>キジュツ</t>
    </rPh>
    <rPh sb="137" eb="139">
      <t>セツモン</t>
    </rPh>
    <rPh sb="142" eb="144">
      <t>ハンダン</t>
    </rPh>
    <rPh sb="147" eb="149">
      <t>ジギョウ</t>
    </rPh>
    <rPh sb="150" eb="152">
      <t>キボ</t>
    </rPh>
    <rPh sb="152" eb="153">
      <t>カン</t>
    </rPh>
    <rPh sb="154" eb="156">
      <t>サイゴ</t>
    </rPh>
    <rPh sb="157" eb="159">
      <t>キジュツ</t>
    </rPh>
    <rPh sb="160" eb="163">
      <t>ホウコウセイ</t>
    </rPh>
    <rPh sb="164" eb="165">
      <t>フ</t>
    </rPh>
    <rPh sb="168" eb="170">
      <t>カイトウ</t>
    </rPh>
    <rPh sb="174" eb="175">
      <t>カタ</t>
    </rPh>
    <rPh sb="181" eb="182">
      <t>カタ</t>
    </rPh>
    <rPh sb="183" eb="185">
      <t>テンサ</t>
    </rPh>
    <rPh sb="186" eb="187">
      <t>ショウ</t>
    </rPh>
    <rPh sb="190" eb="191">
      <t>オモ</t>
    </rPh>
    <phoneticPr fontId="3"/>
  </si>
  <si>
    <t>ランクＣの理由</t>
    <phoneticPr fontId="3"/>
  </si>
  <si>
    <t>参考：予備校各社が選んだ指標</t>
    <rPh sb="0" eb="2">
      <t>サンコウ</t>
    </rPh>
    <rPh sb="3" eb="6">
      <t>ヨビコウ</t>
    </rPh>
    <rPh sb="6" eb="8">
      <t>カクシャ</t>
    </rPh>
    <rPh sb="9" eb="10">
      <t>エラ</t>
    </rPh>
    <rPh sb="12" eb="14">
      <t>シヒョウ</t>
    </rPh>
    <phoneticPr fontId="3"/>
  </si>
  <si>
    <t>メリットもデメリットもあくまで「D社にとって配送業務専門の会社を子会社化している」ことを書く必要がありそう。
それを踏まえメリットは「配送業務の専門性が強化され、配送コストの削減に貢献すること」としました。
色々検討しましたが、最終的に与件にある「タイムリーな建材配送を実現する」という目標らしき一文を尊重しています。
一方でデメリットは「タイムリーな配送が子会社のインセンティブにならないこと」としました。
財務会計的に親子それぞれ考えた場合、親会社にとって配送コストは費用ですが子会社にとっては売上高になります。
EDI導入、タイムリーな配送により子会社側で売上の減少以上にコストが大幅に減るのであれば親子そろってハッピーですが、タイムリーな配送となれば子会社側が多頻度小口配送に対応することになり逆にコスト増加になることのほうが自然ではないかと考えました（ここは推論のため是々非々あると思いますので、皆様のご意見をお聞かせください）。
理解ができませんでしたが、予備校の回答では盛んに管理費用増加！管理費用増加！と叫んでました。
今回の事例Ⅳ与件やストーリーの中で一体どこで管理費用が問題となったのでしょう？
なので管理費用を取り上げることは与件に関係ない一般論に走ったと解釈し、今回の回答としてはD社にとって発生しうるデメリットにフォーカスしました。</t>
    <rPh sb="17" eb="18">
      <t>シャ</t>
    </rPh>
    <rPh sb="22" eb="24">
      <t>ハイソウ</t>
    </rPh>
    <rPh sb="24" eb="26">
      <t>ギョウム</t>
    </rPh>
    <rPh sb="26" eb="28">
      <t>センモン</t>
    </rPh>
    <rPh sb="29" eb="31">
      <t>カイシャ</t>
    </rPh>
    <rPh sb="32" eb="35">
      <t>コガイシャ</t>
    </rPh>
    <rPh sb="35" eb="36">
      <t>カ</t>
    </rPh>
    <rPh sb="44" eb="45">
      <t>カ</t>
    </rPh>
    <rPh sb="46" eb="48">
      <t>ヒツヨウ</t>
    </rPh>
    <rPh sb="58" eb="59">
      <t>フ</t>
    </rPh>
    <rPh sb="104" eb="106">
      <t>イロイロ</t>
    </rPh>
    <rPh sb="106" eb="108">
      <t>ケントウ</t>
    </rPh>
    <rPh sb="114" eb="117">
      <t>サイシュウテキ</t>
    </rPh>
    <rPh sb="118" eb="120">
      <t>ヨケン</t>
    </rPh>
    <rPh sb="130" eb="132">
      <t>ケンザイ</t>
    </rPh>
    <rPh sb="132" eb="134">
      <t>ハイソウ</t>
    </rPh>
    <rPh sb="135" eb="137">
      <t>ジツゲン</t>
    </rPh>
    <rPh sb="143" eb="145">
      <t>モクヒョウ</t>
    </rPh>
    <rPh sb="148" eb="150">
      <t>イチブン</t>
    </rPh>
    <rPh sb="151" eb="153">
      <t>ソンチョウ</t>
    </rPh>
    <rPh sb="160" eb="162">
      <t>イッポウ</t>
    </rPh>
    <rPh sb="176" eb="178">
      <t>ハイソウ</t>
    </rPh>
    <rPh sb="205" eb="207">
      <t>ザイム</t>
    </rPh>
    <rPh sb="207" eb="209">
      <t>カイケイ</t>
    </rPh>
    <rPh sb="209" eb="210">
      <t>テキ</t>
    </rPh>
    <rPh sb="211" eb="213">
      <t>オヤコ</t>
    </rPh>
    <rPh sb="217" eb="218">
      <t>カンガ</t>
    </rPh>
    <rPh sb="220" eb="222">
      <t>バアイ</t>
    </rPh>
    <rPh sb="223" eb="226">
      <t>オヤガイシャ</t>
    </rPh>
    <rPh sb="230" eb="232">
      <t>ハイソウ</t>
    </rPh>
    <rPh sb="236" eb="238">
      <t>ヒヨウ</t>
    </rPh>
    <rPh sb="241" eb="244">
      <t>コガイシャ</t>
    </rPh>
    <rPh sb="249" eb="251">
      <t>ウリアゲ</t>
    </rPh>
    <rPh sb="251" eb="252">
      <t>ダカ</t>
    </rPh>
    <rPh sb="262" eb="264">
      <t>ドウニュウ</t>
    </rPh>
    <rPh sb="271" eb="273">
      <t>ハイソウ</t>
    </rPh>
    <rPh sb="276" eb="279">
      <t>コガイシャ</t>
    </rPh>
    <rPh sb="279" eb="280">
      <t>ガワ</t>
    </rPh>
    <rPh sb="281" eb="283">
      <t>ウリアゲ</t>
    </rPh>
    <rPh sb="284" eb="286">
      <t>ゲンショウ</t>
    </rPh>
    <rPh sb="286" eb="288">
      <t>イジョウ</t>
    </rPh>
    <rPh sb="293" eb="295">
      <t>オオハバ</t>
    </rPh>
    <rPh sb="296" eb="297">
      <t>ヘ</t>
    </rPh>
    <rPh sb="303" eb="305">
      <t>オヤコ</t>
    </rPh>
    <rPh sb="323" eb="325">
      <t>ハイソウ</t>
    </rPh>
    <rPh sb="329" eb="332">
      <t>コガイシャ</t>
    </rPh>
    <rPh sb="332" eb="333">
      <t>ガワ</t>
    </rPh>
    <rPh sb="334" eb="335">
      <t>タ</t>
    </rPh>
    <rPh sb="335" eb="337">
      <t>ヒンド</t>
    </rPh>
    <rPh sb="337" eb="339">
      <t>コグチ</t>
    </rPh>
    <rPh sb="339" eb="341">
      <t>ハイソウ</t>
    </rPh>
    <rPh sb="342" eb="344">
      <t>タイオウ</t>
    </rPh>
    <rPh sb="351" eb="352">
      <t>ギャク</t>
    </rPh>
    <rPh sb="356" eb="358">
      <t>ゾウカ</t>
    </rPh>
    <rPh sb="367" eb="369">
      <t>シゼン</t>
    </rPh>
    <rPh sb="375" eb="376">
      <t>カンガ</t>
    </rPh>
    <rPh sb="384" eb="386">
      <t>スイロン</t>
    </rPh>
    <rPh sb="389" eb="393">
      <t>ゼゼヒヒ</t>
    </rPh>
    <rPh sb="396" eb="397">
      <t>オモ</t>
    </rPh>
    <rPh sb="403" eb="405">
      <t>ミナサマ</t>
    </rPh>
    <rPh sb="407" eb="409">
      <t>イケン</t>
    </rPh>
    <rPh sb="411" eb="412">
      <t>キ</t>
    </rPh>
    <rPh sb="421" eb="423">
      <t>リカイ</t>
    </rPh>
    <rPh sb="434" eb="437">
      <t>ヨビコウ</t>
    </rPh>
    <rPh sb="438" eb="440">
      <t>カイトウ</t>
    </rPh>
    <rPh sb="442" eb="443">
      <t>サカ</t>
    </rPh>
    <rPh sb="445" eb="447">
      <t>カンリ</t>
    </rPh>
    <rPh sb="447" eb="449">
      <t>ヒヨウ</t>
    </rPh>
    <rPh sb="449" eb="451">
      <t>ゾウカ</t>
    </rPh>
    <rPh sb="452" eb="454">
      <t>カンリ</t>
    </rPh>
    <rPh sb="454" eb="456">
      <t>ヒヨウ</t>
    </rPh>
    <rPh sb="456" eb="458">
      <t>ゾウカ</t>
    </rPh>
    <rPh sb="460" eb="461">
      <t>サケ</t>
    </rPh>
    <rPh sb="468" eb="470">
      <t>コンカイ</t>
    </rPh>
    <rPh sb="471" eb="473">
      <t>ジレイ</t>
    </rPh>
    <rPh sb="474" eb="476">
      <t>ヨケン</t>
    </rPh>
    <rPh sb="483" eb="484">
      <t>ナカ</t>
    </rPh>
    <rPh sb="485" eb="487">
      <t>イッタイ</t>
    </rPh>
    <rPh sb="490" eb="492">
      <t>カンリ</t>
    </rPh>
    <rPh sb="492" eb="494">
      <t>ヒヨウ</t>
    </rPh>
    <rPh sb="495" eb="497">
      <t>モンダイ</t>
    </rPh>
    <rPh sb="511" eb="513">
      <t>カンリ</t>
    </rPh>
    <rPh sb="513" eb="515">
      <t>ヒヨウ</t>
    </rPh>
    <rPh sb="516" eb="517">
      <t>ト</t>
    </rPh>
    <rPh sb="518" eb="519">
      <t>ア</t>
    </rPh>
    <rPh sb="524" eb="526">
      <t>ヨケン</t>
    </rPh>
    <rPh sb="527" eb="529">
      <t>カンケイ</t>
    </rPh>
    <rPh sb="531" eb="533">
      <t>イッパン</t>
    </rPh>
    <rPh sb="533" eb="534">
      <t>ロン</t>
    </rPh>
    <rPh sb="535" eb="536">
      <t>ハシ</t>
    </rPh>
    <rPh sb="539" eb="541">
      <t>カイシャク</t>
    </rPh>
    <rPh sb="543" eb="545">
      <t>コンカイ</t>
    </rPh>
    <rPh sb="546" eb="548">
      <t>カイトウ</t>
    </rPh>
    <rPh sb="553" eb="554">
      <t>シャ</t>
    </rPh>
    <rPh sb="558" eb="560">
      <t>ハッセイ</t>
    </rPh>
    <phoneticPr fontId="3"/>
  </si>
  <si>
    <t>事業別に限界利益率が異なり構成比の変動で試算結果が変わること。</t>
    <phoneticPr fontId="3"/>
  </si>
  <si>
    <r>
      <t>教科書的な観点からCVP分析の原点に立ち返って考えてみました。
CVP分析は、「社長！あと売上が○○円あれば黒字でしたねｗ」といった</t>
    </r>
    <r>
      <rPr>
        <strike/>
        <sz val="10"/>
        <color theme="1"/>
        <rFont val="游ゴシック"/>
        <family val="3"/>
        <charset val="128"/>
        <scheme val="minor"/>
      </rPr>
      <t>診断士としてあるまじき皮肉を言う</t>
    </r>
    <r>
      <rPr>
        <sz val="10"/>
        <color theme="1"/>
        <rFont val="游ゴシック"/>
        <family val="2"/>
        <charset val="128"/>
        <scheme val="minor"/>
      </rPr>
      <t xml:space="preserve">過去の振り返りをするためだけではなく、未来の予算の条件設定や事業部ごとの努力目標などを定量的に測定するためツールです。
目標利益を〇〇円と設定したとき～や固定費を〇〇円削減すればよいか？などという「未来」の諸条件が加えられた問題が続いて出題されるのはこのためです。
</t>
    </r>
    <r>
      <rPr>
        <sz val="10"/>
        <color theme="1"/>
        <rFont val="游ゴシック"/>
        <family val="3"/>
        <charset val="128"/>
        <scheme val="minor"/>
      </rPr>
      <t>例によってこの後の設問（３）でも事業部別に「未来」の努力目標や変化点を加味した利益計画を算定することになりますが</t>
    </r>
    <r>
      <rPr>
        <sz val="10"/>
        <color theme="1"/>
        <rFont val="游ゴシック"/>
        <family val="2"/>
        <charset val="128"/>
        <scheme val="minor"/>
      </rPr>
      <t xml:space="preserve">
設問３で計算された数値が翌年度におけるD社の「利益計画」であり予算（一次予算）と考えられます。
つまり、「事業部別の努力目標や変化点を考慮し、積算した利益計画を作成する」ことが複数事業を抱えるD社にとって利益計画を作成上での正しいプロセス（あるべき姿）であり、全社数値を利益計画の資料として使うと目標の売上高予算を達成しても計画通りの結果にならないことが問題になります。
このため、個別の積算が必要というあるべき姿と全社数値を使った場合とのギャップを問題として記述することで設問間の整合性もとれるように配慮しました。</t>
    </r>
    <rPh sb="0" eb="4">
      <t>キョウカショテキ</t>
    </rPh>
    <rPh sb="5" eb="7">
      <t>カンテン</t>
    </rPh>
    <rPh sb="101" eb="103">
      <t>ミライ</t>
    </rPh>
    <rPh sb="104" eb="106">
      <t>ヨサン</t>
    </rPh>
    <rPh sb="118" eb="120">
      <t>ドリョク</t>
    </rPh>
    <rPh sb="159" eb="162">
      <t>コテイヒ</t>
    </rPh>
    <rPh sb="165" eb="166">
      <t>エン</t>
    </rPh>
    <rPh sb="166" eb="168">
      <t>サクゲン</t>
    </rPh>
    <rPh sb="241" eb="243">
      <t>ドリョク</t>
    </rPh>
    <rPh sb="243" eb="245">
      <t>モクヒョウ</t>
    </rPh>
    <rPh sb="246" eb="248">
      <t>ヘンカ</t>
    </rPh>
    <rPh sb="248" eb="249">
      <t>テン</t>
    </rPh>
    <rPh sb="250" eb="252">
      <t>カミ</t>
    </rPh>
    <rPh sb="272" eb="274">
      <t>セツモン</t>
    </rPh>
    <rPh sb="276" eb="278">
      <t>ケイサン</t>
    </rPh>
    <rPh sb="281" eb="283">
      <t>スウチ</t>
    </rPh>
    <rPh sb="284" eb="287">
      <t>ヨクネンド</t>
    </rPh>
    <rPh sb="292" eb="293">
      <t>シャ</t>
    </rPh>
    <rPh sb="295" eb="297">
      <t>リエキ</t>
    </rPh>
    <rPh sb="297" eb="299">
      <t>ケイカク</t>
    </rPh>
    <rPh sb="303" eb="305">
      <t>ヨサン</t>
    </rPh>
    <rPh sb="306" eb="308">
      <t>イチジ</t>
    </rPh>
    <rPh sb="308" eb="310">
      <t>ヨサン</t>
    </rPh>
    <rPh sb="312" eb="313">
      <t>カンガ</t>
    </rPh>
    <rPh sb="330" eb="332">
      <t>ドリョク</t>
    </rPh>
    <rPh sb="332" eb="334">
      <t>モクヒョウ</t>
    </rPh>
    <rPh sb="335" eb="337">
      <t>ヘンカ</t>
    </rPh>
    <rPh sb="337" eb="338">
      <t>テン</t>
    </rPh>
    <rPh sb="343" eb="345">
      <t>セキサン</t>
    </rPh>
    <rPh sb="360" eb="362">
      <t>フクスウ</t>
    </rPh>
    <rPh sb="362" eb="364">
      <t>ジギョウ</t>
    </rPh>
    <rPh sb="365" eb="366">
      <t>カカ</t>
    </rPh>
    <rPh sb="369" eb="370">
      <t>シャ</t>
    </rPh>
    <rPh sb="374" eb="376">
      <t>リエキ</t>
    </rPh>
    <rPh sb="376" eb="378">
      <t>ケイカク</t>
    </rPh>
    <rPh sb="379" eb="381">
      <t>サクセイ</t>
    </rPh>
    <rPh sb="381" eb="382">
      <t>ジョウ</t>
    </rPh>
    <rPh sb="384" eb="385">
      <t>タダ</t>
    </rPh>
    <rPh sb="404" eb="406">
      <t>スウチ</t>
    </rPh>
    <rPh sb="407" eb="409">
      <t>リエキ</t>
    </rPh>
    <rPh sb="409" eb="411">
      <t>ケイカク</t>
    </rPh>
    <rPh sb="412" eb="414">
      <t>シリョウ</t>
    </rPh>
    <rPh sb="420" eb="422">
      <t>モクヒョウ</t>
    </rPh>
    <rPh sb="423" eb="425">
      <t>ウリアゲ</t>
    </rPh>
    <rPh sb="425" eb="426">
      <t>ダカ</t>
    </rPh>
    <rPh sb="426" eb="428">
      <t>ヨサン</t>
    </rPh>
    <rPh sb="429" eb="431">
      <t>タッセイ</t>
    </rPh>
    <rPh sb="434" eb="436">
      <t>ケイカク</t>
    </rPh>
    <rPh sb="436" eb="437">
      <t>ドオ</t>
    </rPh>
    <rPh sb="439" eb="441">
      <t>ケッカ</t>
    </rPh>
    <rPh sb="463" eb="465">
      <t>コベツ</t>
    </rPh>
    <rPh sb="466" eb="468">
      <t>セキサン</t>
    </rPh>
    <rPh sb="469" eb="471">
      <t>ヒツヨウ</t>
    </rPh>
    <rPh sb="480" eb="482">
      <t>ゼンシャ</t>
    </rPh>
    <rPh sb="482" eb="484">
      <t>スウチ</t>
    </rPh>
    <rPh sb="485" eb="486">
      <t>ツカ</t>
    </rPh>
    <rPh sb="488" eb="490">
      <t>バアイ</t>
    </rPh>
    <rPh sb="523" eb="525">
      <t>ハイリョ</t>
    </rPh>
    <phoneticPr fontId="3"/>
  </si>
  <si>
    <t>事業別に限界利益率が異なり構成比の変動で試算結果が変わること。</t>
  </si>
  <si>
    <t>有形固定資産回転率</t>
  </si>
  <si>
    <t>売上高総利益率</t>
  </si>
  <si>
    <t>←設問文から</t>
    <rPh sb="1" eb="3">
      <t>セツモン</t>
    </rPh>
    <rPh sb="3" eb="4">
      <t>ブン</t>
    </rPh>
    <phoneticPr fontId="3"/>
  </si>
  <si>
    <t>準備①</t>
    <rPh sb="0" eb="2">
      <t>ジュンビ</t>
    </rPh>
    <phoneticPr fontId="3"/>
  </si>
  <si>
    <t>【変動費】</t>
    <rPh sb="1" eb="3">
      <t>ヘンドウ</t>
    </rPh>
    <rPh sb="3" eb="4">
      <t>ヒ</t>
    </rPh>
    <phoneticPr fontId="3"/>
  </si>
  <si>
    <t>【固定費】</t>
    <rPh sb="1" eb="4">
      <t>コテイヒ</t>
    </rPh>
    <phoneticPr fontId="3"/>
  </si>
  <si>
    <t>準備②-1</t>
    <rPh sb="0" eb="2">
      <t>ジュンビ</t>
    </rPh>
    <phoneticPr fontId="3"/>
  </si>
  <si>
    <t>準備②-2</t>
    <rPh sb="0" eb="2">
      <t>ジュンビ</t>
    </rPh>
    <phoneticPr fontId="3"/>
  </si>
  <si>
    <t>準備③</t>
    <rPh sb="0" eb="2">
      <t>ジュンビ</t>
    </rPh>
    <phoneticPr fontId="3"/>
  </si>
  <si>
    <t>FCF＝</t>
    <phoneticPr fontId="3"/>
  </si>
  <si>
    <t>×(1－税率)</t>
    <rPh sb="4" eb="6">
      <t>ゼイリツ</t>
    </rPh>
    <phoneticPr fontId="3"/>
  </si>
  <si>
    <t>+減価償却費</t>
    <phoneticPr fontId="3"/>
  </si>
  <si>
    <t>±運転資本増減</t>
    <rPh sb="1" eb="3">
      <t>ウンテン</t>
    </rPh>
    <rPh sb="3" eb="5">
      <t>シホン</t>
    </rPh>
    <rPh sb="5" eb="7">
      <t>ゾウゲン</t>
    </rPh>
    <phoneticPr fontId="3"/>
  </si>
  <si>
    <t>ー投資額</t>
    <rPh sb="1" eb="3">
      <t>トウシ</t>
    </rPh>
    <rPh sb="3" eb="4">
      <t>ガク</t>
    </rPh>
    <phoneticPr fontId="3"/>
  </si>
  <si>
    <t>税率</t>
    <rPh sb="0" eb="2">
      <t>ゼイリツ</t>
    </rPh>
    <phoneticPr fontId="3"/>
  </si>
  <si>
    <t>企業価値＝</t>
    <rPh sb="0" eb="2">
      <t>キギョウ</t>
    </rPh>
    <rPh sb="2" eb="4">
      <t>カチ</t>
    </rPh>
    <phoneticPr fontId="3"/>
  </si>
  <si>
    <t>FCF</t>
    <phoneticPr fontId="3"/>
  </si>
  <si>
    <t>・今のPLが赤字でも、減価償却費を足しあげたり固定費削減によりFCFを持ち上げると、企業価値は上がる。つまり一見赤字企業でも、より正しい企業価値を計算することで、オーナー夫妻に喜んでもらえる。</t>
    <rPh sb="1" eb="2">
      <t>イマ</t>
    </rPh>
    <rPh sb="6" eb="8">
      <t>アカジ</t>
    </rPh>
    <rPh sb="11" eb="13">
      <t>ゲンカ</t>
    </rPh>
    <rPh sb="13" eb="15">
      <t>ショウキャク</t>
    </rPh>
    <rPh sb="15" eb="16">
      <t>ヒ</t>
    </rPh>
    <rPh sb="17" eb="18">
      <t>タ</t>
    </rPh>
    <rPh sb="23" eb="26">
      <t>コテイヒ</t>
    </rPh>
    <rPh sb="26" eb="28">
      <t>サクゲン</t>
    </rPh>
    <rPh sb="35" eb="36">
      <t>モ</t>
    </rPh>
    <rPh sb="37" eb="38">
      <t>ア</t>
    </rPh>
    <rPh sb="42" eb="44">
      <t>キギョウ</t>
    </rPh>
    <rPh sb="44" eb="46">
      <t>カチ</t>
    </rPh>
    <rPh sb="47" eb="48">
      <t>ア</t>
    </rPh>
    <rPh sb="54" eb="56">
      <t>イッケン</t>
    </rPh>
    <rPh sb="56" eb="58">
      <t>アカジ</t>
    </rPh>
    <rPh sb="58" eb="60">
      <t>キギョウ</t>
    </rPh>
    <rPh sb="65" eb="66">
      <t>タダ</t>
    </rPh>
    <rPh sb="68" eb="70">
      <t>キギョウ</t>
    </rPh>
    <rPh sb="70" eb="72">
      <t>カチ</t>
    </rPh>
    <rPh sb="73" eb="75">
      <t>ケイサン</t>
    </rPh>
    <rPh sb="85" eb="87">
      <t>フサイ</t>
    </rPh>
    <rPh sb="88" eb="89">
      <t>ヨロコ</t>
    </rPh>
    <phoneticPr fontId="3"/>
  </si>
  <si>
    <t>準備① DCF法企業価値＝FCF÷WACC</t>
    <rPh sb="0" eb="2">
      <t>ジュンビ</t>
    </rPh>
    <rPh sb="7" eb="8">
      <t>ホウ</t>
    </rPh>
    <rPh sb="8" eb="10">
      <t>キギョウ</t>
    </rPh>
    <rPh sb="10" eb="12">
      <t>カチ</t>
    </rPh>
    <phoneticPr fontId="3"/>
  </si>
  <si>
    <t>準備② オーナー夫妻給与を除く営業利益</t>
    <rPh sb="0" eb="2">
      <t>ジュンビ</t>
    </rPh>
    <rPh sb="8" eb="10">
      <t>フサイ</t>
    </rPh>
    <rPh sb="10" eb="12">
      <t>キュウヨ</t>
    </rPh>
    <rPh sb="13" eb="14">
      <t>ノゾ</t>
    </rPh>
    <rPh sb="15" eb="17">
      <t>エイギョウ</t>
    </rPh>
    <rPh sb="17" eb="19">
      <t>リエキ</t>
    </rPh>
    <phoneticPr fontId="3"/>
  </si>
  <si>
    <t>準備③ WACC計算</t>
    <rPh sb="0" eb="2">
      <t>ジュンビ</t>
    </rPh>
    <rPh sb="8" eb="10">
      <t>ケイサン</t>
    </rPh>
    <phoneticPr fontId="3"/>
  </si>
  <si>
    <t>解答：D社の企業価値</t>
    <rPh sb="0" eb="2">
      <t>カイトウ</t>
    </rPh>
    <rPh sb="4" eb="5">
      <t>シャ</t>
    </rPh>
    <rPh sb="6" eb="8">
      <t>キギョウ</t>
    </rPh>
    <rPh sb="8" eb="10">
      <t>カチ</t>
    </rPh>
    <phoneticPr fontId="3"/>
  </si>
  <si>
    <t>営業利益</t>
    <rPh sb="0" eb="2">
      <t>エイギョウ</t>
    </rPh>
    <rPh sb="2" eb="4">
      <t>リエキ</t>
    </rPh>
    <phoneticPr fontId="3"/>
  </si>
  <si>
    <t>【変動費】</t>
    <rPh sb="1" eb="3">
      <t>ヘンドウ</t>
    </rPh>
    <rPh sb="3" eb="4">
      <t>ヒ</t>
    </rPh>
    <phoneticPr fontId="3"/>
  </si>
  <si>
    <t>?</t>
    <phoneticPr fontId="3"/>
  </si>
  <si>
    <t>税引後CIF(当問ではFCFと同じ)</t>
    <rPh sb="0" eb="2">
      <t>ゼイビキ</t>
    </rPh>
    <rPh sb="2" eb="3">
      <t>ゴ</t>
    </rPh>
    <rPh sb="7" eb="9">
      <t>トウモン</t>
    </rPh>
    <rPh sb="15" eb="16">
      <t>オナ</t>
    </rPh>
    <phoneticPr fontId="3"/>
  </si>
  <si>
    <t>差額CF(初年度からの増加額)</t>
    <rPh sb="0" eb="2">
      <t>サガク</t>
    </rPh>
    <rPh sb="5" eb="8">
      <t>ショネンド</t>
    </rPh>
    <rPh sb="11" eb="13">
      <t>ゾウカ</t>
    </rPh>
    <rPh sb="13" eb="14">
      <t>ガク</t>
    </rPh>
    <phoneticPr fontId="3"/>
  </si>
  <si>
    <t>【参考：BOX図(税引後CIF BOX)を使った確認】 FCF公式利用の場合と、当年CIFの計算結果は同じ</t>
    <rPh sb="1" eb="3">
      <t>サンコウ</t>
    </rPh>
    <rPh sb="7" eb="8">
      <t>ズ</t>
    </rPh>
    <rPh sb="9" eb="11">
      <t>ゼイビキ</t>
    </rPh>
    <rPh sb="11" eb="12">
      <t>ゴ</t>
    </rPh>
    <rPh sb="21" eb="22">
      <t>ツカ</t>
    </rPh>
    <rPh sb="24" eb="26">
      <t>カクニン</t>
    </rPh>
    <rPh sb="31" eb="33">
      <t>コウシキ</t>
    </rPh>
    <rPh sb="33" eb="35">
      <t>リヨウ</t>
    </rPh>
    <rPh sb="36" eb="38">
      <t>バアイ</t>
    </rPh>
    <rPh sb="40" eb="42">
      <t>トウネン</t>
    </rPh>
    <rPh sb="46" eb="48">
      <t>ケイサン</t>
    </rPh>
    <rPh sb="48" eb="50">
      <t>ケッカ</t>
    </rPh>
    <rPh sb="51" eb="52">
      <t>オナ</t>
    </rPh>
    <phoneticPr fontId="3"/>
  </si>
  <si>
    <t>参考 税引き後CIF BOX ～計算結果は同じ</t>
    <rPh sb="0" eb="2">
      <t>サンコウ</t>
    </rPh>
    <rPh sb="3" eb="5">
      <t>ゼイビ</t>
    </rPh>
    <rPh sb="6" eb="7">
      <t>ゴ</t>
    </rPh>
    <rPh sb="16" eb="18">
      <t>ケイサン</t>
    </rPh>
    <rPh sb="18" eb="20">
      <t>ケッカ</t>
    </rPh>
    <rPh sb="21" eb="22">
      <t>オナ</t>
    </rPh>
    <phoneticPr fontId="3"/>
  </si>
  <si>
    <t>準備① NPV法→タイムテーブルを描く</t>
    <rPh sb="0" eb="2">
      <t>ジュンビ</t>
    </rPh>
    <rPh sb="7" eb="8">
      <t>ホウ</t>
    </rPh>
    <rPh sb="17" eb="18">
      <t>カ</t>
    </rPh>
    <phoneticPr fontId="3"/>
  </si>
  <si>
    <t>準備② 改修で変動する差額CFの計算</t>
    <rPh sb="0" eb="2">
      <t>ジュンビ</t>
    </rPh>
    <rPh sb="4" eb="6">
      <t>カイシュウ</t>
    </rPh>
    <rPh sb="7" eb="9">
      <t>ヘンドウ</t>
    </rPh>
    <rPh sb="11" eb="13">
      <t>サガク</t>
    </rPh>
    <rPh sb="16" eb="18">
      <t>ケイサン</t>
    </rPh>
    <phoneticPr fontId="3"/>
  </si>
  <si>
    <t>※今回は、(設問1)で計算した予想PLをそのまま用い、×実額でなく、初年度との差額CFを出す。</t>
    <rPh sb="1" eb="3">
      <t>コンカイ</t>
    </rPh>
    <rPh sb="6" eb="8">
      <t>セツモン</t>
    </rPh>
    <rPh sb="11" eb="13">
      <t>ケイサン</t>
    </rPh>
    <rPh sb="15" eb="17">
      <t>ヨソウ</t>
    </rPh>
    <rPh sb="24" eb="25">
      <t>モチ</t>
    </rPh>
    <rPh sb="28" eb="30">
      <t>ジツガク</t>
    </rPh>
    <rPh sb="34" eb="37">
      <t>ショネンド</t>
    </rPh>
    <rPh sb="39" eb="41">
      <t>サガク</t>
    </rPh>
    <rPh sb="44" eb="45">
      <t>ダ</t>
    </rPh>
    <phoneticPr fontId="3"/>
  </si>
  <si>
    <t>←(設問1)から</t>
    <rPh sb="2" eb="4">
      <t>セツモン</t>
    </rPh>
    <phoneticPr fontId="3"/>
  </si>
  <si>
    <t>←(設問3)設問文から</t>
    <rPh sb="2" eb="4">
      <t>セツモン</t>
    </rPh>
    <rPh sb="6" eb="8">
      <t>セツモン</t>
    </rPh>
    <rPh sb="8" eb="9">
      <t>ブン</t>
    </rPh>
    <phoneticPr fontId="3"/>
  </si>
  <si>
    <t>R2年事例Ⅳ</t>
    <rPh sb="2" eb="3">
      <t>ネン</t>
    </rPh>
    <rPh sb="3" eb="5">
      <t>ジレイ</t>
    </rPh>
    <phoneticPr fontId="3"/>
  </si>
  <si>
    <t>売上高総利益率</t>
    <phoneticPr fontId="3"/>
  </si>
  <si>
    <t>※幅広く別解あり</t>
    <rPh sb="1" eb="3">
      <t>ハバヒロ</t>
    </rPh>
    <rPh sb="4" eb="6">
      <t>ベッカイ</t>
    </rPh>
    <phoneticPr fontId="3"/>
  </si>
  <si>
    <t>回/年</t>
    <rPh sb="0" eb="1">
      <t>カイ</t>
    </rPh>
    <rPh sb="2" eb="3">
      <t>ネン</t>
    </rPh>
    <phoneticPr fontId="3"/>
  </si>
  <si>
    <t>別途作成。与件の根拠とリンクしていれば尚可</t>
    <rPh sb="0" eb="2">
      <t>ベット</t>
    </rPh>
    <rPh sb="2" eb="4">
      <t>サクセイ</t>
    </rPh>
    <rPh sb="5" eb="7">
      <t>ヨケン</t>
    </rPh>
    <rPh sb="8" eb="10">
      <t>コンキョ</t>
    </rPh>
    <rPh sb="19" eb="21">
      <t>ナオカ</t>
    </rPh>
    <phoneticPr fontId="3"/>
  </si>
  <si>
    <t>CVPと予測税引後キャッシュフロー</t>
    <rPh sb="4" eb="6">
      <t>ヨソク</t>
    </rPh>
    <rPh sb="6" eb="8">
      <t>ゼイビキ</t>
    </rPh>
    <rPh sb="8" eb="9">
      <t>ゴ</t>
    </rPh>
    <phoneticPr fontId="3"/>
  </si>
  <si>
    <t>(設問1)の損益分岐点売上高は、方程式を使い確実に当たるサービス問題。</t>
    <rPh sb="1" eb="3">
      <t>セツモン</t>
    </rPh>
    <rPh sb="6" eb="8">
      <t>ソンエキ</t>
    </rPh>
    <rPh sb="8" eb="11">
      <t>ブンキテン</t>
    </rPh>
    <rPh sb="11" eb="13">
      <t>ウリアゲ</t>
    </rPh>
    <rPh sb="13" eb="14">
      <t>ダカ</t>
    </rPh>
    <rPh sb="16" eb="19">
      <t>ホウテイシキ</t>
    </rPh>
    <rPh sb="20" eb="21">
      <t>ツカ</t>
    </rPh>
    <rPh sb="22" eb="24">
      <t>カクジツ</t>
    </rPh>
    <rPh sb="25" eb="26">
      <t>ア</t>
    </rPh>
    <rPh sb="32" eb="34">
      <t>モンダイ</t>
    </rPh>
    <phoneticPr fontId="3"/>
  </si>
  <si>
    <t>(設問2)の税引後キャッシュフロー予測は条件読み取りが複雑なので、順番を最後にし、出来る所だけ部分点を取ればOK。</t>
    <rPh sb="1" eb="3">
      <t>セツモン</t>
    </rPh>
    <rPh sb="6" eb="8">
      <t>ゼイビキ</t>
    </rPh>
    <rPh sb="8" eb="9">
      <t>ゴ</t>
    </rPh>
    <rPh sb="17" eb="19">
      <t>ヨソク</t>
    </rPh>
    <rPh sb="20" eb="22">
      <t>ジョウケン</t>
    </rPh>
    <rPh sb="22" eb="23">
      <t>ヨ</t>
    </rPh>
    <rPh sb="24" eb="25">
      <t>ト</t>
    </rPh>
    <rPh sb="27" eb="29">
      <t>フクザツ</t>
    </rPh>
    <rPh sb="33" eb="35">
      <t>ジュンバン</t>
    </rPh>
    <rPh sb="36" eb="38">
      <t>サイゴ</t>
    </rPh>
    <rPh sb="41" eb="43">
      <t>デキ</t>
    </rPh>
    <rPh sb="44" eb="45">
      <t>トコロ</t>
    </rPh>
    <rPh sb="47" eb="50">
      <t>ブブンテン</t>
    </rPh>
    <rPh sb="51" eb="52">
      <t>ト</t>
    </rPh>
    <phoneticPr fontId="3"/>
  </si>
  <si>
    <t>※普通にやっても悩むが、冷静になって方程式を置くと簡単に解ける。</t>
    <rPh sb="1" eb="3">
      <t>フツウ</t>
    </rPh>
    <rPh sb="8" eb="9">
      <t>ナヤ</t>
    </rPh>
    <rPh sb="12" eb="14">
      <t>レイセイ</t>
    </rPh>
    <rPh sb="18" eb="21">
      <t>ホウテイシキ</t>
    </rPh>
    <rPh sb="22" eb="23">
      <t>オ</t>
    </rPh>
    <rPh sb="25" eb="27">
      <t>カンタン</t>
    </rPh>
    <rPh sb="28" eb="29">
      <t>ト</t>
    </rPh>
    <phoneticPr fontId="3"/>
  </si>
  <si>
    <t>ステーキ店の当期損益計算書(直接原価計算)</t>
    <rPh sb="4" eb="5">
      <t>テン</t>
    </rPh>
    <rPh sb="6" eb="8">
      <t>トウキ</t>
    </rPh>
    <rPh sb="8" eb="10">
      <t>ソンエキ</t>
    </rPh>
    <rPh sb="10" eb="13">
      <t>ケイサンショ</t>
    </rPh>
    <rPh sb="14" eb="16">
      <t>チョクセツ</t>
    </rPh>
    <rPh sb="16" eb="18">
      <t>ゲンカ</t>
    </rPh>
    <rPh sb="18" eb="20">
      <t>ケイサン</t>
    </rPh>
    <phoneticPr fontId="3"/>
  </si>
  <si>
    <t>売上一定額以上になると、変動費率が変動するCVP分析</t>
    <rPh sb="0" eb="2">
      <t>ウリアゲ</t>
    </rPh>
    <rPh sb="2" eb="4">
      <t>イッテイ</t>
    </rPh>
    <rPh sb="4" eb="5">
      <t>ガク</t>
    </rPh>
    <rPh sb="5" eb="7">
      <t>イジョウ</t>
    </rPh>
    <rPh sb="12" eb="14">
      <t>ヘンドウ</t>
    </rPh>
    <rPh sb="14" eb="15">
      <t>ヒ</t>
    </rPh>
    <rPh sb="15" eb="16">
      <t>リツ</t>
    </rPh>
    <rPh sb="17" eb="19">
      <t>ヘンドウ</t>
    </rPh>
    <rPh sb="24" eb="26">
      <t>ブンセキ</t>
    </rPh>
    <phoneticPr fontId="3"/>
  </si>
  <si>
    <t xml:space="preserve">  変動費</t>
    <rPh sb="2" eb="4">
      <t>ヘンドウ</t>
    </rPh>
    <rPh sb="4" eb="5">
      <t>ヒ</t>
    </rPh>
    <phoneticPr fontId="3"/>
  </si>
  <si>
    <t xml:space="preserve">  固定費</t>
    <rPh sb="2" eb="5">
      <t>コテイヒ</t>
    </rPh>
    <phoneticPr fontId="3"/>
  </si>
  <si>
    <t>←変動費率</t>
    <rPh sb="1" eb="3">
      <t>ヘンドウ</t>
    </rPh>
    <rPh sb="3" eb="4">
      <t>ヒ</t>
    </rPh>
    <rPh sb="4" eb="5">
      <t>リツ</t>
    </rPh>
    <phoneticPr fontId="3"/>
  </si>
  <si>
    <t>売上高70百万円まで</t>
    <rPh sb="0" eb="2">
      <t>ウリアゲ</t>
    </rPh>
    <rPh sb="2" eb="3">
      <t>ダカ</t>
    </rPh>
    <rPh sb="5" eb="8">
      <t>ヒャクマンエン</t>
    </rPh>
    <phoneticPr fontId="3"/>
  </si>
  <si>
    <t>x</t>
    <phoneticPr fontId="3"/>
  </si>
  <si>
    <t>それ以上の売上をｘとする</t>
    <rPh sb="2" eb="4">
      <t>イジョウ</t>
    </rPh>
    <rPh sb="5" eb="7">
      <t>ウリアゲ</t>
    </rPh>
    <phoneticPr fontId="3"/>
  </si>
  <si>
    <t>0.6x</t>
    <phoneticPr fontId="3"/>
  </si>
  <si>
    <t>売上高が70＋ｘ百万円の時の、限界利益＝固定費となるxを求める。</t>
    <rPh sb="0" eb="2">
      <t>ウリアゲ</t>
    </rPh>
    <rPh sb="2" eb="3">
      <t>ダカ</t>
    </rPh>
    <rPh sb="8" eb="11">
      <t>ヒャクマンエン</t>
    </rPh>
    <rPh sb="12" eb="13">
      <t>トキ</t>
    </rPh>
    <rPh sb="15" eb="17">
      <t>ゲンカイ</t>
    </rPh>
    <rPh sb="17" eb="19">
      <t>リエキ</t>
    </rPh>
    <rPh sb="20" eb="22">
      <t>コテイ</t>
    </rPh>
    <rPh sb="22" eb="23">
      <t>ヒ</t>
    </rPh>
    <rPh sb="28" eb="29">
      <t>モト</t>
    </rPh>
    <phoneticPr fontId="3"/>
  </si>
  <si>
    <t>0.4x</t>
    <phoneticPr fontId="3"/>
  </si>
  <si>
    <t>24.5+0.4x=28</t>
    <phoneticPr fontId="3"/>
  </si>
  <si>
    <t>0.4x=3.5</t>
    <phoneticPr fontId="3"/>
  </si>
  <si>
    <t>x=8.75</t>
    <phoneticPr fontId="3"/>
  </si>
  <si>
    <t>損益分岐点売上高SBPE＝70+8.75=78.75百万円</t>
    <rPh sb="0" eb="2">
      <t>ソンエキ</t>
    </rPh>
    <rPh sb="2" eb="5">
      <t>ブンキテン</t>
    </rPh>
    <rPh sb="5" eb="7">
      <t>ウリアゲ</t>
    </rPh>
    <rPh sb="7" eb="8">
      <t>ダカ</t>
    </rPh>
    <rPh sb="26" eb="29">
      <t>ヒャクマンエン</t>
    </rPh>
    <phoneticPr fontId="3"/>
  </si>
  <si>
    <t>連結会計 買収時ののれん計算と負ののれん</t>
    <rPh sb="0" eb="2">
      <t>レンケツ</t>
    </rPh>
    <rPh sb="2" eb="4">
      <t>カイケイ</t>
    </rPh>
    <rPh sb="5" eb="7">
      <t>バイシュウ</t>
    </rPh>
    <rPh sb="7" eb="8">
      <t>ジ</t>
    </rPh>
    <rPh sb="12" eb="14">
      <t>ケイサン</t>
    </rPh>
    <rPh sb="15" eb="16">
      <t>フ</t>
    </rPh>
    <phoneticPr fontId="3"/>
  </si>
  <si>
    <t>(設問1) 連結会計を学習済なら、時価評価で差額計算するだけの、ごく初歩ののれん計算。ただし負ののれんになる。</t>
    <rPh sb="1" eb="3">
      <t>セツモン</t>
    </rPh>
    <rPh sb="6" eb="8">
      <t>レンケツ</t>
    </rPh>
    <rPh sb="8" eb="10">
      <t>カイケイ</t>
    </rPh>
    <rPh sb="11" eb="13">
      <t>ガクシュウ</t>
    </rPh>
    <rPh sb="13" eb="14">
      <t>スミ</t>
    </rPh>
    <rPh sb="17" eb="19">
      <t>ジカ</t>
    </rPh>
    <rPh sb="19" eb="21">
      <t>ヒョウカ</t>
    </rPh>
    <rPh sb="22" eb="24">
      <t>サガク</t>
    </rPh>
    <rPh sb="24" eb="26">
      <t>ケイサン</t>
    </rPh>
    <rPh sb="34" eb="36">
      <t>ショホ</t>
    </rPh>
    <rPh sb="40" eb="42">
      <t>ケイサン</t>
    </rPh>
    <rPh sb="46" eb="47">
      <t>フ</t>
    </rPh>
    <phoneticPr fontId="3"/>
  </si>
  <si>
    <t>(設問2) 負ののれん発生時の会計処理＋考慮点を問う知識問題。知っている方だけ当たってしまうので、実質没問(配点なし)を予想します。</t>
    <rPh sb="1" eb="3">
      <t>セツモン</t>
    </rPh>
    <rPh sb="6" eb="7">
      <t>フ</t>
    </rPh>
    <rPh sb="11" eb="13">
      <t>ハッセイ</t>
    </rPh>
    <rPh sb="13" eb="14">
      <t>ジ</t>
    </rPh>
    <rPh sb="15" eb="17">
      <t>カイケイ</t>
    </rPh>
    <rPh sb="17" eb="19">
      <t>ショリ</t>
    </rPh>
    <rPh sb="20" eb="22">
      <t>コウリョ</t>
    </rPh>
    <rPh sb="22" eb="23">
      <t>テン</t>
    </rPh>
    <rPh sb="24" eb="25">
      <t>ト</t>
    </rPh>
    <rPh sb="26" eb="28">
      <t>チシキ</t>
    </rPh>
    <rPh sb="28" eb="30">
      <t>モンダイ</t>
    </rPh>
    <rPh sb="31" eb="32">
      <t>シ</t>
    </rPh>
    <rPh sb="36" eb="37">
      <t>カタ</t>
    </rPh>
    <rPh sb="39" eb="40">
      <t>ア</t>
    </rPh>
    <rPh sb="49" eb="51">
      <t>ジッシツ</t>
    </rPh>
    <rPh sb="51" eb="52">
      <t>ボツ</t>
    </rPh>
    <rPh sb="52" eb="53">
      <t>モン</t>
    </rPh>
    <rPh sb="54" eb="56">
      <t>ハイテン</t>
    </rPh>
    <rPh sb="60" eb="62">
      <t>ヨソウ</t>
    </rPh>
    <phoneticPr fontId="3"/>
  </si>
  <si>
    <t>資産</t>
    <rPh sb="0" eb="2">
      <t>シサン</t>
    </rPh>
    <phoneticPr fontId="3"/>
  </si>
  <si>
    <t>負債</t>
    <rPh sb="0" eb="2">
      <t>フサイ</t>
    </rPh>
    <phoneticPr fontId="3"/>
  </si>
  <si>
    <t>簿価 350</t>
    <rPh sb="0" eb="2">
      <t>ボカ</t>
    </rPh>
    <phoneticPr fontId="3"/>
  </si>
  <si>
    <t>時価 350</t>
    <rPh sb="0" eb="2">
      <t>ジカ</t>
    </rPh>
    <phoneticPr fontId="3"/>
  </si>
  <si>
    <t>簿価 550</t>
    <rPh sb="0" eb="2">
      <t>ボカ</t>
    </rPh>
    <phoneticPr fontId="3"/>
  </si>
  <si>
    <t>時価 500</t>
    <rPh sb="0" eb="2">
      <t>ジカ</t>
    </rPh>
    <phoneticPr fontId="3"/>
  </si>
  <si>
    <t>←のれん計算には、時価を使うこと</t>
    <rPh sb="4" eb="6">
      <t>ケイサン</t>
    </rPh>
    <rPh sb="9" eb="11">
      <t>ジカ</t>
    </rPh>
    <rPh sb="12" eb="13">
      <t>ツカ</t>
    </rPh>
    <phoneticPr fontId="3"/>
  </si>
  <si>
    <t>のれんの計算</t>
    <rPh sb="4" eb="6">
      <t>ケイサン</t>
    </rPh>
    <phoneticPr fontId="3"/>
  </si>
  <si>
    <t>資産 500</t>
    <rPh sb="0" eb="2">
      <t>シサン</t>
    </rPh>
    <phoneticPr fontId="3"/>
  </si>
  <si>
    <t>負債 350</t>
    <rPh sb="0" eb="2">
      <t>フサイ</t>
    </rPh>
    <phoneticPr fontId="3"/>
  </si>
  <si>
    <t>E社株式 50</t>
    <rPh sb="1" eb="2">
      <t>シャ</t>
    </rPh>
    <rPh sb="2" eb="4">
      <t>カブシキ</t>
    </rPh>
    <phoneticPr fontId="3"/>
  </si>
  <si>
    <t>負ののれん</t>
    <rPh sb="0" eb="1">
      <t>フ</t>
    </rPh>
    <phoneticPr fontId="3"/>
  </si>
  <si>
    <t>時価評価した資産･負債とE社株式の相殺消去の結果、100百万円の負ののれんが生じ、一括して利益計上する。</t>
    <rPh sb="0" eb="2">
      <t>ジカ</t>
    </rPh>
    <rPh sb="2" eb="4">
      <t>ヒョウカ</t>
    </rPh>
    <rPh sb="6" eb="8">
      <t>シサン</t>
    </rPh>
    <rPh sb="9" eb="11">
      <t>フサイ</t>
    </rPh>
    <rPh sb="13" eb="14">
      <t>シャ</t>
    </rPh>
    <rPh sb="14" eb="16">
      <t>カブシキ</t>
    </rPh>
    <rPh sb="17" eb="19">
      <t>ソウサイ</t>
    </rPh>
    <rPh sb="19" eb="21">
      <t>ショウキョ</t>
    </rPh>
    <rPh sb="22" eb="24">
      <t>ケッカ</t>
    </rPh>
    <rPh sb="28" eb="31">
      <t>ヒャクマンエン</t>
    </rPh>
    <rPh sb="32" eb="33">
      <t>フ</t>
    </rPh>
    <rPh sb="38" eb="39">
      <t>ショウ</t>
    </rPh>
    <rPh sb="41" eb="43">
      <t>イッカツ</t>
    </rPh>
    <rPh sb="45" eb="47">
      <t>リエキ</t>
    </rPh>
    <rPh sb="47" eb="49">
      <t>ケイジョウ</t>
    </rPh>
    <phoneticPr fontId="3"/>
  </si>
  <si>
    <t>知識問題</t>
    <rPh sb="0" eb="2">
      <t>チシキ</t>
    </rPh>
    <rPh sb="2" eb="4">
      <t>モンダイ</t>
    </rPh>
    <phoneticPr fontId="3"/>
  </si>
  <si>
    <t>・負ののれんが生じる場合、一般に①簿外債務 ②訴訟リスクの存在が考えられ、そのリスクを評価したうえで買収の是非を決定する。</t>
    <rPh sb="1" eb="2">
      <t>フ</t>
    </rPh>
    <rPh sb="7" eb="8">
      <t>ショウ</t>
    </rPh>
    <rPh sb="10" eb="12">
      <t>バアイ</t>
    </rPh>
    <rPh sb="13" eb="15">
      <t>イッパン</t>
    </rPh>
    <rPh sb="17" eb="19">
      <t>ボガイ</t>
    </rPh>
    <rPh sb="19" eb="21">
      <t>サイム</t>
    </rPh>
    <rPh sb="23" eb="25">
      <t>ソショウ</t>
    </rPh>
    <rPh sb="29" eb="31">
      <t>ソンザイ</t>
    </rPh>
    <rPh sb="32" eb="33">
      <t>カンガ</t>
    </rPh>
    <rPh sb="43" eb="45">
      <t>ヒョウカ</t>
    </rPh>
    <rPh sb="50" eb="52">
      <t>バイシュウ</t>
    </rPh>
    <rPh sb="53" eb="55">
      <t>ゼヒ</t>
    </rPh>
    <rPh sb="56" eb="58">
      <t>ケッテイ</t>
    </rPh>
    <phoneticPr fontId="3"/>
  </si>
  <si>
    <t>セグメント利益(ROI)の計算と、追加投資実施後の損益計算</t>
    <rPh sb="5" eb="7">
      <t>リエキ</t>
    </rPh>
    <rPh sb="13" eb="15">
      <t>ケイサン</t>
    </rPh>
    <rPh sb="17" eb="19">
      <t>ツイカ</t>
    </rPh>
    <rPh sb="19" eb="21">
      <t>トウシ</t>
    </rPh>
    <rPh sb="21" eb="23">
      <t>ジッシ</t>
    </rPh>
    <rPh sb="23" eb="24">
      <t>ゴ</t>
    </rPh>
    <rPh sb="25" eb="27">
      <t>ソンエキ</t>
    </rPh>
    <rPh sb="27" eb="29">
      <t>ケイサン</t>
    </rPh>
    <phoneticPr fontId="3"/>
  </si>
  <si>
    <t>(設問1) 設問文指示に従いROIを計算するだけの、サービス問題</t>
    <rPh sb="1" eb="3">
      <t>セツモン</t>
    </rPh>
    <rPh sb="6" eb="8">
      <t>セツモン</t>
    </rPh>
    <rPh sb="8" eb="9">
      <t>ブン</t>
    </rPh>
    <rPh sb="9" eb="11">
      <t>シジ</t>
    </rPh>
    <rPh sb="12" eb="13">
      <t>シタガ</t>
    </rPh>
    <rPh sb="18" eb="20">
      <t>ケイサン</t>
    </rPh>
    <rPh sb="30" eb="32">
      <t>モンダイ</t>
    </rPh>
    <phoneticPr fontId="3"/>
  </si>
  <si>
    <t>(設問2) 400万円のソフトウェア投資後の、減価償却計算と翌年の損益予測を行う。セグメント利益は営業利益ベースなので、利払い考慮不要のひっかけあり。</t>
    <rPh sb="1" eb="3">
      <t>セツモン</t>
    </rPh>
    <rPh sb="9" eb="11">
      <t>マンエン</t>
    </rPh>
    <rPh sb="18" eb="20">
      <t>トウシ</t>
    </rPh>
    <rPh sb="20" eb="21">
      <t>ゴ</t>
    </rPh>
    <rPh sb="23" eb="25">
      <t>ゲンカ</t>
    </rPh>
    <rPh sb="25" eb="27">
      <t>ショウキャク</t>
    </rPh>
    <rPh sb="27" eb="29">
      <t>ケイサン</t>
    </rPh>
    <rPh sb="30" eb="32">
      <t>ヨクネン</t>
    </rPh>
    <rPh sb="33" eb="35">
      <t>ソンエキ</t>
    </rPh>
    <rPh sb="35" eb="37">
      <t>ヨソク</t>
    </rPh>
    <rPh sb="38" eb="39">
      <t>オコナ</t>
    </rPh>
    <rPh sb="46" eb="48">
      <t>リエキ</t>
    </rPh>
    <rPh sb="49" eb="51">
      <t>エイギョウ</t>
    </rPh>
    <rPh sb="51" eb="53">
      <t>リエキ</t>
    </rPh>
    <rPh sb="60" eb="62">
      <t>リバラ</t>
    </rPh>
    <rPh sb="63" eb="65">
      <t>コウリョ</t>
    </rPh>
    <rPh sb="65" eb="67">
      <t>フヨウ</t>
    </rPh>
    <phoneticPr fontId="3"/>
  </si>
  <si>
    <t>戸建住宅事業</t>
    <rPh sb="0" eb="2">
      <t>コダ</t>
    </rPh>
    <rPh sb="2" eb="4">
      <t>ジュウタク</t>
    </rPh>
    <rPh sb="4" eb="6">
      <t>ジギョウ</t>
    </rPh>
    <phoneticPr fontId="3"/>
  </si>
  <si>
    <t>飲食事業</t>
    <rPh sb="0" eb="2">
      <t>インショク</t>
    </rPh>
    <rPh sb="2" eb="4">
      <t>ジギョウ</t>
    </rPh>
    <phoneticPr fontId="3"/>
  </si>
  <si>
    <t>その他事業</t>
    <rPh sb="2" eb="3">
      <t>タ</t>
    </rPh>
    <rPh sb="3" eb="5">
      <t>ジギョウ</t>
    </rPh>
    <phoneticPr fontId="3"/>
  </si>
  <si>
    <t>セグメント資産</t>
    <rPh sb="5" eb="7">
      <t>シサン</t>
    </rPh>
    <phoneticPr fontId="3"/>
  </si>
  <si>
    <t>ROI</t>
    <phoneticPr fontId="3"/>
  </si>
  <si>
    <t>当期ROIの計算</t>
    <rPh sb="0" eb="2">
      <t>トウキ</t>
    </rPh>
    <rPh sb="6" eb="8">
      <t>ケイサン</t>
    </rPh>
    <phoneticPr fontId="3"/>
  </si>
  <si>
    <t>翌期ROIの計算 (400百万円設備投資後の、戸建事業部だけ計算すればOK)</t>
    <rPh sb="0" eb="2">
      <t>ヨクキ</t>
    </rPh>
    <rPh sb="6" eb="8">
      <t>ケイサン</t>
    </rPh>
    <rPh sb="13" eb="16">
      <t>ヒャクマンエン</t>
    </rPh>
    <rPh sb="16" eb="18">
      <t>セツビ</t>
    </rPh>
    <rPh sb="18" eb="20">
      <t>トウシ</t>
    </rPh>
    <rPh sb="20" eb="21">
      <t>ゴ</t>
    </rPh>
    <rPh sb="23" eb="25">
      <t>コダ</t>
    </rPh>
    <rPh sb="25" eb="27">
      <t>ジギョウ</t>
    </rPh>
    <rPh sb="27" eb="28">
      <t>ブ</t>
    </rPh>
    <rPh sb="30" eb="32">
      <t>ケイサン</t>
    </rPh>
    <phoneticPr fontId="3"/>
  </si>
  <si>
    <t>ソフトウェア導入の効果</t>
    <rPh sb="6" eb="8">
      <t>ドウニュウ</t>
    </rPh>
    <rPh sb="9" eb="11">
      <t>コウカ</t>
    </rPh>
    <phoneticPr fontId="3"/>
  </si>
  <si>
    <t>期末簿価</t>
    <rPh sb="0" eb="2">
      <t>キマツ</t>
    </rPh>
    <rPh sb="2" eb="4">
      <t>ボカ</t>
    </rPh>
    <phoneticPr fontId="3"/>
  </si>
  <si>
    <t>減価償却  80</t>
    <rPh sb="0" eb="2">
      <t>ゲンカ</t>
    </rPh>
    <rPh sb="2" eb="4">
      <t>ショウキャク</t>
    </rPh>
    <phoneticPr fontId="3"/>
  </si>
  <si>
    <t>売上増加額</t>
    <rPh sb="0" eb="2">
      <t>ウリアゲ</t>
    </rPh>
    <rPh sb="2" eb="4">
      <t>ゾウカ</t>
    </rPh>
    <rPh sb="4" eb="5">
      <t>ガク</t>
    </rPh>
    <phoneticPr fontId="3"/>
  </si>
  <si>
    <t>原価増加額</t>
    <rPh sb="0" eb="2">
      <t>ゲンカ</t>
    </rPh>
    <rPh sb="2" eb="4">
      <t>ゾウカ</t>
    </rPh>
    <rPh sb="4" eb="5">
      <t>ガク</t>
    </rPh>
    <phoneticPr fontId="3"/>
  </si>
  <si>
    <t>セグ利益増加額</t>
    <rPh sb="2" eb="4">
      <t>リエキ</t>
    </rPh>
    <rPh sb="4" eb="6">
      <t>ゾウカ</t>
    </rPh>
    <rPh sb="6" eb="7">
      <t>ガク</t>
    </rPh>
    <phoneticPr fontId="3"/>
  </si>
  <si>
    <t>翌期合計</t>
    <rPh sb="0" eb="2">
      <t>ヨクキ</t>
    </rPh>
    <rPh sb="2" eb="4">
      <t>ゴウケイ</t>
    </rPh>
    <phoneticPr fontId="3"/>
  </si>
  <si>
    <t>参考：支払利息</t>
    <rPh sb="0" eb="2">
      <t>サンコウ</t>
    </rPh>
    <rPh sb="3" eb="5">
      <t>シハライ</t>
    </rPh>
    <rPh sb="5" eb="7">
      <t>リソク</t>
    </rPh>
    <phoneticPr fontId="3"/>
  </si>
  <si>
    <t>セグメント利益ー支払利息</t>
    <rPh sb="5" eb="7">
      <t>リエキ</t>
    </rPh>
    <rPh sb="8" eb="10">
      <t>シハラ</t>
    </rPh>
    <rPh sb="10" eb="12">
      <t>リソク</t>
    </rPh>
    <phoneticPr fontId="3"/>
  </si>
  <si>
    <t>←支払利息は営業外なので、当問では考慮しない。</t>
    <rPh sb="1" eb="3">
      <t>シハラ</t>
    </rPh>
    <rPh sb="3" eb="5">
      <t>リソク</t>
    </rPh>
    <rPh sb="6" eb="9">
      <t>エイギョウガイ</t>
    </rPh>
    <rPh sb="13" eb="15">
      <t>トウモン</t>
    </rPh>
    <rPh sb="17" eb="19">
      <t>コウリョ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</si>
</sst>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000;[Red]\-#,##0.0000"/>
    <numFmt numFmtId="178" formatCode="0.0%"/>
    <numFmt numFmtId="179" formatCode="#,##0.000;[Red]\-#,##0.000"/>
    <numFmt numFmtId="180" formatCode="0.000%"/>
    <numFmt numFmtId="181" formatCode="#&quot;年で19.7まで回収&quot;"/>
    <numFmt numFmtId="182" formatCode="&quot;=&quot;#,##0.00;[Red]\-#,##0.00"/>
    <numFmt numFmtId="183" formatCode="&quot;=&quot;#,##0.00;[Red]&quot;=&quot;\-#,##0.00"/>
    <numFmt numFmtId="184" formatCode="&quot;=&quot;#,##0;[Red]\-#,##0"/>
  </numFmts>
  <fonts count="32">
    <font>
      <sz val="10"/>
      <color theme="1"/>
      <name val="游ゴシック"/>
      <family val="2"/>
      <charset val="128"/>
      <scheme val="minor"/>
    </font>
    <font>
      <sz val="10"/>
      <color theme="1"/>
      <name val="游ゴシック"/>
      <family val="2"/>
      <charset val="128"/>
      <scheme val="minor"/>
    </font>
    <font>
      <b/>
      <sz val="10"/>
      <color rgb="FF3F3F3F"/>
      <name val="游ゴシック"/>
      <family val="2"/>
      <charset val="128"/>
      <scheme val="minor"/>
    </font>
    <font>
      <sz val="6"/>
      <name val="游ゴシック"/>
      <family val="2"/>
      <charset val="128"/>
      <scheme val="minor"/>
    </font>
    <font>
      <b/>
      <sz val="10"/>
      <color rgb="FF3F3F3F"/>
      <name val="游ゴシック"/>
      <family val="3"/>
      <charset val="128"/>
      <scheme val="minor"/>
    </font>
    <font>
      <sz val="10"/>
      <color theme="1"/>
      <name val="游ゴシック"/>
      <family val="3"/>
      <charset val="128"/>
      <scheme val="minor"/>
    </font>
    <font>
      <sz val="11"/>
      <color theme="1"/>
      <name val="游ゴシック"/>
      <family val="2"/>
      <charset val="128"/>
      <scheme val="minor"/>
    </font>
    <font>
      <b/>
      <sz val="10"/>
      <color rgb="FFFF0000"/>
      <name val="游ゴシック"/>
      <family val="3"/>
      <charset val="128"/>
      <scheme val="minor"/>
    </font>
    <font>
      <sz val="10"/>
      <color rgb="FFFF0000"/>
      <name val="游ゴシック"/>
      <family val="3"/>
      <charset val="128"/>
      <scheme val="minor"/>
    </font>
    <font>
      <b/>
      <sz val="10"/>
      <color theme="1"/>
      <name val="游ゴシック"/>
      <family val="3"/>
      <charset val="128"/>
      <scheme val="minor"/>
    </font>
    <font>
      <b/>
      <u/>
      <sz val="10"/>
      <color rgb="FF3F3F3F"/>
      <name val="游ゴシック"/>
      <family val="2"/>
      <charset val="128"/>
      <scheme val="minor"/>
    </font>
    <font>
      <b/>
      <sz val="10"/>
      <color theme="0"/>
      <name val="游ゴシック"/>
      <family val="2"/>
      <charset val="128"/>
      <scheme val="minor"/>
    </font>
    <font>
      <sz val="10"/>
      <color rgb="FFFF0000"/>
      <name val="游ゴシック"/>
      <family val="2"/>
      <charset val="128"/>
      <scheme val="minor"/>
    </font>
    <font>
      <sz val="10"/>
      <color theme="0"/>
      <name val="游ゴシック"/>
      <family val="2"/>
      <charset val="128"/>
      <scheme val="minor"/>
    </font>
    <font>
      <sz val="10"/>
      <color theme="0"/>
      <name val="游ゴシック"/>
      <family val="3"/>
      <charset val="128"/>
      <scheme val="minor"/>
    </font>
    <font>
      <b/>
      <u/>
      <sz val="10"/>
      <color rgb="FF3F3F3F"/>
      <name val="游ゴシック"/>
      <family val="3"/>
      <charset val="128"/>
      <scheme val="minor"/>
    </font>
    <font>
      <i/>
      <sz val="10"/>
      <color theme="1"/>
      <name val="游ゴシック"/>
      <family val="3"/>
      <charset val="128"/>
      <scheme val="minor"/>
    </font>
    <font>
      <sz val="10"/>
      <name val="游ゴシック"/>
      <family val="3"/>
      <charset val="128"/>
      <scheme val="minor"/>
    </font>
    <font>
      <sz val="10"/>
      <color rgb="FF0000FF"/>
      <name val="游ゴシック"/>
      <family val="3"/>
      <charset val="128"/>
      <scheme val="minor"/>
    </font>
    <font>
      <sz val="9"/>
      <color rgb="FF0000FF"/>
      <name val="游ゴシック"/>
      <family val="3"/>
      <charset val="128"/>
      <scheme val="minor"/>
    </font>
    <font>
      <sz val="9"/>
      <color indexed="81"/>
      <name val="MS P ゴシック"/>
      <family val="3"/>
      <charset val="128"/>
    </font>
    <font>
      <b/>
      <sz val="9"/>
      <color indexed="81"/>
      <name val="MS P ゴシック"/>
      <family val="3"/>
      <charset val="128"/>
    </font>
    <font>
      <vertAlign val="subscript"/>
      <sz val="10"/>
      <color theme="1"/>
      <name val="游ゴシック"/>
      <family val="3"/>
      <charset val="128"/>
      <scheme val="minor"/>
    </font>
    <font>
      <sz val="10"/>
      <color rgb="FF3F3F3F"/>
      <name val="游ゴシック"/>
      <family val="3"/>
      <charset val="128"/>
      <scheme val="minor"/>
    </font>
    <font>
      <u/>
      <sz val="10"/>
      <color rgb="FF3F3F3F"/>
      <name val="游ゴシック"/>
      <family val="3"/>
      <charset val="128"/>
      <scheme val="minor"/>
    </font>
    <font>
      <sz val="10"/>
      <color theme="1"/>
      <name val="ＭＳ Ｐゴシック"/>
      <family val="2"/>
      <charset val="128"/>
    </font>
    <font>
      <b/>
      <sz val="10"/>
      <name val="游ゴシック"/>
      <family val="3"/>
      <charset val="128"/>
      <scheme val="minor"/>
    </font>
    <font>
      <sz val="10"/>
      <color theme="1"/>
      <name val="游ゴシック"/>
      <family val="3"/>
      <charset val="128"/>
    </font>
    <font>
      <sz val="10.5"/>
      <color theme="1"/>
      <name val="游明朝"/>
      <family val="1"/>
      <charset val="128"/>
    </font>
    <font>
      <b/>
      <sz val="10"/>
      <color rgb="FF0000FF"/>
      <name val="游ゴシック"/>
      <family val="3"/>
      <charset val="128"/>
      <scheme val="minor"/>
    </font>
    <font>
      <strike/>
      <sz val="10"/>
      <color theme="1"/>
      <name val="游ゴシック"/>
      <family val="3"/>
      <charset val="128"/>
      <scheme val="minor"/>
    </font>
    <font>
      <b/>
      <sz val="10"/>
      <color theme="0"/>
      <name val="游ゴシック"/>
      <family val="3"/>
      <charset val="128"/>
      <scheme val="minor"/>
    </font>
  </fonts>
  <fills count="25">
    <fill>
      <patternFill patternType="none"/>
    </fill>
    <fill>
      <patternFill patternType="gray125"/>
    </fill>
    <fill>
      <patternFill patternType="solid">
        <fgColor rgb="FFF2F2F2"/>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theme="4" tint="0.79998168889431442"/>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bgColor indexed="64"/>
      </patternFill>
    </fill>
  </fills>
  <borders count="78">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right style="thin">
        <color theme="4" tint="0.39997558519241921"/>
      </right>
      <top style="thin">
        <color indexed="64"/>
      </top>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top/>
      <bottom style="double">
        <color indexed="64"/>
      </bottom>
      <diagonal/>
    </border>
    <border>
      <left style="thin">
        <color theme="0"/>
      </left>
      <right/>
      <top/>
      <bottom/>
      <diagonal/>
    </border>
    <border>
      <left style="thin">
        <color theme="4" tint="0.39994506668294322"/>
      </left>
      <right style="thin">
        <color theme="4" tint="0.39991454817346722"/>
      </right>
      <top style="thin">
        <color theme="4" tint="0.39997558519241921"/>
      </top>
      <bottom style="thin">
        <color theme="4" tint="0.39997558519241921"/>
      </bottom>
      <diagonal/>
    </border>
    <border>
      <left style="thin">
        <color theme="4" tint="0.39991454817346722"/>
      </left>
      <right style="thin">
        <color theme="4" tint="0.39991454817346722"/>
      </right>
      <top style="thin">
        <color theme="4" tint="0.39997558519241921"/>
      </top>
      <bottom style="thin">
        <color theme="4" tint="0.39997558519241921"/>
      </bottom>
      <diagonal/>
    </border>
    <border>
      <left style="thin">
        <color theme="4" tint="0.39991454817346722"/>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bottom/>
      <diagonal/>
    </border>
    <border>
      <left style="mediumDashed">
        <color indexed="64"/>
      </left>
      <right style="mediumDashed">
        <color indexed="64"/>
      </right>
      <top style="thin">
        <color indexed="64"/>
      </top>
      <bottom style="mediumDashed">
        <color indexed="64"/>
      </bottom>
      <diagonal/>
    </border>
  </borders>
  <cellStyleXfs count="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2" fillId="2" borderId="1" applyNumberFormat="0" applyAlignment="0" applyProtection="0">
      <alignment vertical="center"/>
    </xf>
    <xf numFmtId="0" fontId="2" fillId="2" borderId="1" applyNumberFormat="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5" fillId="0" borderId="0">
      <alignment vertical="center"/>
    </xf>
  </cellStyleXfs>
  <cellXfs count="452">
    <xf numFmtId="0" fontId="0" fillId="0" borderId="0" xfId="0">
      <alignment vertical="center"/>
    </xf>
    <xf numFmtId="38" fontId="2" fillId="2" borderId="2" xfId="4" applyNumberFormat="1" applyFont="1" applyBorder="1">
      <alignment vertical="center"/>
    </xf>
    <xf numFmtId="38" fontId="4" fillId="2" borderId="3" xfId="4" applyNumberFormat="1" applyFont="1" applyBorder="1">
      <alignment vertical="center"/>
    </xf>
    <xf numFmtId="38" fontId="4" fillId="2" borderId="4" xfId="4" applyNumberFormat="1" applyFont="1" applyBorder="1">
      <alignment vertical="center"/>
    </xf>
    <xf numFmtId="38" fontId="5" fillId="0" borderId="0" xfId="5" applyFont="1">
      <alignment vertical="center"/>
    </xf>
    <xf numFmtId="38" fontId="4" fillId="2" borderId="5" xfId="4" applyNumberFormat="1" applyFont="1" applyBorder="1">
      <alignment vertical="center"/>
    </xf>
    <xf numFmtId="38" fontId="4" fillId="2" borderId="0" xfId="4" applyNumberFormat="1" applyFont="1" applyBorder="1">
      <alignment vertical="center"/>
    </xf>
    <xf numFmtId="38" fontId="4" fillId="2" borderId="6" xfId="4" applyNumberFormat="1" applyFont="1" applyBorder="1">
      <alignment vertical="center"/>
    </xf>
    <xf numFmtId="38" fontId="4" fillId="2" borderId="7" xfId="4" applyNumberFormat="1" applyFont="1" applyBorder="1">
      <alignment vertical="center"/>
    </xf>
    <xf numFmtId="38" fontId="4" fillId="2" borderId="8" xfId="4" applyNumberFormat="1" applyFont="1" applyBorder="1">
      <alignment vertical="center"/>
    </xf>
    <xf numFmtId="38" fontId="4" fillId="2" borderId="9" xfId="4" applyNumberFormat="1" applyFont="1" applyBorder="1">
      <alignment vertical="center"/>
    </xf>
    <xf numFmtId="38" fontId="4" fillId="0" borderId="0" xfId="4" applyNumberFormat="1" applyFont="1" applyFill="1" applyBorder="1">
      <alignment vertical="center"/>
    </xf>
    <xf numFmtId="38" fontId="5" fillId="0" borderId="0" xfId="5" applyFont="1" applyFill="1">
      <alignment vertical="center"/>
    </xf>
    <xf numFmtId="38" fontId="2" fillId="2" borderId="10" xfId="3" applyNumberFormat="1" applyBorder="1">
      <alignment vertical="center"/>
    </xf>
    <xf numFmtId="38" fontId="2" fillId="2" borderId="11" xfId="3" applyNumberFormat="1" applyBorder="1">
      <alignment vertical="center"/>
    </xf>
    <xf numFmtId="38" fontId="2" fillId="2" borderId="12" xfId="3" applyNumberFormat="1" applyBorder="1">
      <alignment vertical="center"/>
    </xf>
    <xf numFmtId="38" fontId="2" fillId="2" borderId="13" xfId="3" applyNumberFormat="1" applyBorder="1">
      <alignment vertical="center"/>
    </xf>
    <xf numFmtId="38" fontId="2" fillId="2" borderId="0" xfId="3" applyNumberFormat="1" applyBorder="1">
      <alignment vertical="center"/>
    </xf>
    <xf numFmtId="38" fontId="2" fillId="2" borderId="14" xfId="3" applyNumberFormat="1" applyBorder="1">
      <alignment vertical="center"/>
    </xf>
    <xf numFmtId="38" fontId="2" fillId="2" borderId="15" xfId="3" applyNumberFormat="1" applyBorder="1">
      <alignment vertical="center"/>
    </xf>
    <xf numFmtId="38" fontId="2" fillId="2" borderId="16" xfId="3" applyNumberFormat="1" applyBorder="1">
      <alignment vertical="center"/>
    </xf>
    <xf numFmtId="38" fontId="2" fillId="2" borderId="17" xfId="3" applyNumberFormat="1" applyBorder="1">
      <alignment vertical="center"/>
    </xf>
    <xf numFmtId="38" fontId="2" fillId="0" borderId="0" xfId="3" applyNumberFormat="1" applyFill="1" applyBorder="1">
      <alignment vertical="center"/>
    </xf>
    <xf numFmtId="38" fontId="5" fillId="0" borderId="18" xfId="5" applyFont="1" applyBorder="1">
      <alignment vertical="center"/>
    </xf>
    <xf numFmtId="38" fontId="5" fillId="0" borderId="19" xfId="5" applyFont="1" applyBorder="1">
      <alignment vertical="center"/>
    </xf>
    <xf numFmtId="38" fontId="5" fillId="0" borderId="20" xfId="5" applyFont="1" applyBorder="1">
      <alignment vertical="center"/>
    </xf>
    <xf numFmtId="38" fontId="5" fillId="3" borderId="0" xfId="5" applyFont="1" applyFill="1">
      <alignment vertical="center"/>
    </xf>
    <xf numFmtId="38" fontId="5" fillId="0" borderId="21" xfId="5" applyFont="1" applyBorder="1">
      <alignment vertical="center"/>
    </xf>
    <xf numFmtId="38" fontId="5" fillId="0" borderId="22" xfId="5" applyFont="1" applyBorder="1">
      <alignment vertical="center"/>
    </xf>
    <xf numFmtId="38" fontId="5" fillId="0" borderId="23" xfId="5" applyFont="1" applyBorder="1">
      <alignment vertical="center"/>
    </xf>
    <xf numFmtId="38" fontId="5" fillId="4" borderId="22" xfId="5" applyFont="1" applyFill="1" applyBorder="1">
      <alignment vertical="center"/>
    </xf>
    <xf numFmtId="38" fontId="5" fillId="4" borderId="23" xfId="5" applyFont="1" applyFill="1" applyBorder="1">
      <alignment vertical="center"/>
    </xf>
    <xf numFmtId="38" fontId="5" fillId="4" borderId="0" xfId="5" applyFont="1" applyFill="1">
      <alignment vertical="center"/>
    </xf>
    <xf numFmtId="38" fontId="5" fillId="0" borderId="16" xfId="5" applyFont="1" applyBorder="1">
      <alignment vertical="center"/>
    </xf>
    <xf numFmtId="38" fontId="5" fillId="5" borderId="0" xfId="5" applyFont="1" applyFill="1">
      <alignment vertical="center"/>
    </xf>
    <xf numFmtId="38" fontId="5" fillId="0" borderId="24" xfId="5" applyFont="1" applyBorder="1">
      <alignment vertical="center"/>
    </xf>
    <xf numFmtId="38" fontId="5" fillId="0" borderId="25" xfId="5" applyFont="1" applyBorder="1">
      <alignment vertical="center"/>
    </xf>
    <xf numFmtId="38" fontId="5" fillId="0" borderId="26" xfId="5" applyFont="1" applyBorder="1">
      <alignment vertical="center"/>
    </xf>
    <xf numFmtId="38" fontId="5" fillId="5" borderId="27" xfId="5" applyFont="1" applyFill="1" applyBorder="1">
      <alignment vertical="center"/>
    </xf>
    <xf numFmtId="38" fontId="5" fillId="0" borderId="28" xfId="5" applyFont="1" applyBorder="1">
      <alignment vertical="center"/>
    </xf>
    <xf numFmtId="38" fontId="5" fillId="0" borderId="29" xfId="5" applyFont="1" applyBorder="1">
      <alignment vertical="center"/>
    </xf>
    <xf numFmtId="38" fontId="5" fillId="0" borderId="30" xfId="5" applyFont="1" applyBorder="1">
      <alignment vertical="center"/>
    </xf>
    <xf numFmtId="38" fontId="5" fillId="4" borderId="17" xfId="5" applyFont="1" applyFill="1" applyBorder="1">
      <alignment vertical="center"/>
    </xf>
    <xf numFmtId="38" fontId="5" fillId="0" borderId="31" xfId="5" applyFont="1" applyFill="1" applyBorder="1">
      <alignment vertical="center"/>
    </xf>
    <xf numFmtId="38" fontId="5" fillId="0" borderId="31" xfId="5" applyFont="1" applyBorder="1">
      <alignment vertical="center"/>
    </xf>
    <xf numFmtId="38" fontId="5" fillId="0" borderId="12" xfId="5" applyFont="1" applyFill="1" applyBorder="1">
      <alignment vertical="center"/>
    </xf>
    <xf numFmtId="38" fontId="5" fillId="0" borderId="32" xfId="5" applyFont="1" applyFill="1" applyBorder="1">
      <alignment vertical="center"/>
    </xf>
    <xf numFmtId="38" fontId="5" fillId="0" borderId="17" xfId="5" applyFont="1" applyFill="1" applyBorder="1">
      <alignment vertical="center"/>
    </xf>
    <xf numFmtId="38" fontId="5" fillId="4" borderId="31" xfId="5" applyFont="1" applyFill="1" applyBorder="1">
      <alignment vertical="center"/>
    </xf>
    <xf numFmtId="177" fontId="5" fillId="0" borderId="0" xfId="5" applyNumberFormat="1" applyFont="1" applyBorder="1" applyAlignment="1">
      <alignment horizontal="center" vertical="center"/>
    </xf>
    <xf numFmtId="38" fontId="5" fillId="0" borderId="0" xfId="5" applyFont="1" applyAlignment="1">
      <alignment horizontal="right" vertical="center"/>
    </xf>
    <xf numFmtId="177" fontId="5" fillId="0" borderId="0" xfId="1" applyNumberFormat="1" applyFont="1">
      <alignment vertical="center"/>
    </xf>
    <xf numFmtId="40" fontId="5" fillId="0" borderId="0" xfId="5" applyNumberFormat="1" applyFont="1">
      <alignment vertical="center"/>
    </xf>
    <xf numFmtId="40" fontId="5" fillId="0" borderId="0" xfId="1" applyNumberFormat="1" applyFont="1">
      <alignment vertical="center"/>
    </xf>
    <xf numFmtId="40" fontId="5" fillId="0" borderId="16" xfId="5" applyNumberFormat="1" applyFont="1" applyBorder="1">
      <alignment vertical="center"/>
    </xf>
    <xf numFmtId="40" fontId="5" fillId="0" borderId="16" xfId="1" applyNumberFormat="1" applyFont="1" applyBorder="1">
      <alignment vertical="center"/>
    </xf>
    <xf numFmtId="9" fontId="5" fillId="0" borderId="0" xfId="2" applyFont="1">
      <alignment vertical="center"/>
    </xf>
    <xf numFmtId="38" fontId="5" fillId="0" borderId="0" xfId="5" applyFont="1" applyBorder="1">
      <alignment vertical="center"/>
    </xf>
    <xf numFmtId="38" fontId="5" fillId="5" borderId="36" xfId="5" applyFont="1" applyFill="1" applyBorder="1">
      <alignment vertical="center"/>
    </xf>
    <xf numFmtId="38" fontId="5" fillId="4" borderId="36" xfId="5" applyFont="1" applyFill="1" applyBorder="1">
      <alignment vertical="center"/>
    </xf>
    <xf numFmtId="38" fontId="7" fillId="2" borderId="8" xfId="4" applyNumberFormat="1" applyFont="1" applyBorder="1">
      <alignment vertical="center"/>
    </xf>
    <xf numFmtId="38" fontId="5" fillId="4" borderId="16" xfId="5" applyFont="1" applyFill="1" applyBorder="1">
      <alignment vertical="center"/>
    </xf>
    <xf numFmtId="38" fontId="5" fillId="4" borderId="27" xfId="5" applyFont="1" applyFill="1" applyBorder="1">
      <alignment vertical="center"/>
    </xf>
    <xf numFmtId="38" fontId="5" fillId="0" borderId="0" xfId="5" quotePrefix="1" applyFont="1">
      <alignment vertical="center"/>
    </xf>
    <xf numFmtId="38" fontId="8" fillId="0" borderId="0" xfId="5" applyFont="1">
      <alignment vertical="center"/>
    </xf>
    <xf numFmtId="38" fontId="5" fillId="0" borderId="0" xfId="1" applyFont="1">
      <alignment vertical="center"/>
    </xf>
    <xf numFmtId="38" fontId="5" fillId="0" borderId="0" xfId="1" applyFont="1" applyBorder="1">
      <alignment vertical="center"/>
    </xf>
    <xf numFmtId="38" fontId="5" fillId="5" borderId="0" xfId="1" applyFont="1" applyFill="1">
      <alignment vertical="center"/>
    </xf>
    <xf numFmtId="176" fontId="5" fillId="0" borderId="0" xfId="1" applyNumberFormat="1" applyFont="1" applyBorder="1">
      <alignment vertical="center"/>
    </xf>
    <xf numFmtId="176" fontId="5" fillId="4" borderId="0" xfId="5" applyNumberFormat="1" applyFont="1" applyFill="1">
      <alignment vertical="center"/>
    </xf>
    <xf numFmtId="176" fontId="5" fillId="5" borderId="0" xfId="1" applyNumberFormat="1" applyFont="1" applyFill="1">
      <alignment vertical="center"/>
    </xf>
    <xf numFmtId="38" fontId="5" fillId="0" borderId="10" xfId="5" applyFont="1" applyBorder="1">
      <alignment vertical="center"/>
    </xf>
    <xf numFmtId="38" fontId="5" fillId="0" borderId="11" xfId="5" applyFont="1" applyBorder="1">
      <alignment vertical="center"/>
    </xf>
    <xf numFmtId="38" fontId="5" fillId="0" borderId="12" xfId="5" applyFont="1" applyBorder="1">
      <alignment vertical="center"/>
    </xf>
    <xf numFmtId="38" fontId="5" fillId="0" borderId="13" xfId="5" applyFont="1" applyBorder="1">
      <alignment vertical="center"/>
    </xf>
    <xf numFmtId="38" fontId="5" fillId="0" borderId="14" xfId="5" applyFont="1" applyBorder="1">
      <alignment vertical="center"/>
    </xf>
    <xf numFmtId="38" fontId="5" fillId="0" borderId="15" xfId="5" applyFont="1" applyBorder="1">
      <alignment vertical="center"/>
    </xf>
    <xf numFmtId="38" fontId="5" fillId="0" borderId="17" xfId="5" applyFont="1" applyBorder="1">
      <alignment vertical="center"/>
    </xf>
    <xf numFmtId="38" fontId="5" fillId="0" borderId="32" xfId="5" applyFont="1" applyBorder="1">
      <alignment vertical="center"/>
    </xf>
    <xf numFmtId="38" fontId="5" fillId="0" borderId="37" xfId="5" applyFont="1" applyBorder="1">
      <alignment vertical="center"/>
    </xf>
    <xf numFmtId="38" fontId="5" fillId="6" borderId="10" xfId="5" applyFont="1" applyFill="1" applyBorder="1">
      <alignment vertical="center"/>
    </xf>
    <xf numFmtId="38" fontId="5" fillId="6" borderId="12" xfId="5" applyFont="1" applyFill="1" applyBorder="1">
      <alignment vertical="center"/>
    </xf>
    <xf numFmtId="38" fontId="5" fillId="6" borderId="15" xfId="5" applyFont="1" applyFill="1" applyBorder="1">
      <alignment vertical="center"/>
    </xf>
    <xf numFmtId="38" fontId="5" fillId="6" borderId="17" xfId="5" applyFont="1" applyFill="1" applyBorder="1">
      <alignment vertical="center"/>
    </xf>
    <xf numFmtId="38" fontId="5" fillId="6" borderId="13" xfId="5" applyFont="1" applyFill="1" applyBorder="1">
      <alignment vertical="center"/>
    </xf>
    <xf numFmtId="38" fontId="5" fillId="6" borderId="0" xfId="5" applyFont="1" applyFill="1">
      <alignment vertical="center"/>
    </xf>
    <xf numFmtId="38" fontId="5" fillId="0" borderId="32" xfId="1" applyFont="1" applyBorder="1">
      <alignment vertical="center"/>
    </xf>
    <xf numFmtId="176" fontId="5" fillId="0" borderId="0" xfId="5" applyNumberFormat="1" applyFont="1">
      <alignment vertical="center"/>
    </xf>
    <xf numFmtId="40" fontId="5" fillId="5" borderId="0" xfId="5" applyNumberFormat="1" applyFont="1" applyFill="1">
      <alignment vertical="center"/>
    </xf>
    <xf numFmtId="40" fontId="5" fillId="5" borderId="0" xfId="5" applyNumberFormat="1" applyFont="1" applyFill="1" applyBorder="1">
      <alignment vertical="center"/>
    </xf>
    <xf numFmtId="38" fontId="5" fillId="7" borderId="10" xfId="5" applyFont="1" applyFill="1" applyBorder="1">
      <alignment vertical="center"/>
    </xf>
    <xf numFmtId="38" fontId="5" fillId="7" borderId="11" xfId="5" applyFont="1" applyFill="1" applyBorder="1">
      <alignment vertical="center"/>
    </xf>
    <xf numFmtId="38" fontId="5" fillId="7" borderId="12" xfId="5" applyFont="1" applyFill="1" applyBorder="1">
      <alignment vertical="center"/>
    </xf>
    <xf numFmtId="38" fontId="5" fillId="7" borderId="13" xfId="5" applyFont="1" applyFill="1" applyBorder="1">
      <alignment vertical="center"/>
    </xf>
    <xf numFmtId="38" fontId="5" fillId="7" borderId="0" xfId="5" applyFont="1" applyFill="1" applyBorder="1">
      <alignment vertical="center"/>
    </xf>
    <xf numFmtId="38" fontId="5" fillId="7" borderId="14" xfId="5" applyFont="1" applyFill="1" applyBorder="1">
      <alignment vertical="center"/>
    </xf>
    <xf numFmtId="38" fontId="5" fillId="7" borderId="17" xfId="5" applyFont="1" applyFill="1" applyBorder="1">
      <alignment vertical="center"/>
    </xf>
    <xf numFmtId="38" fontId="5" fillId="7" borderId="31" xfId="5" applyFont="1" applyFill="1" applyBorder="1">
      <alignment vertical="center"/>
    </xf>
    <xf numFmtId="38" fontId="5" fillId="7" borderId="32" xfId="5" applyFont="1" applyFill="1" applyBorder="1">
      <alignment vertical="center"/>
    </xf>
    <xf numFmtId="40" fontId="5" fillId="7" borderId="0" xfId="1" applyNumberFormat="1" applyFont="1" applyFill="1" applyBorder="1">
      <alignment vertical="center"/>
    </xf>
    <xf numFmtId="38" fontId="5" fillId="7" borderId="0" xfId="5" applyFont="1" applyFill="1" applyBorder="1" applyAlignment="1">
      <alignment horizontal="right" vertical="center"/>
    </xf>
    <xf numFmtId="40" fontId="5" fillId="7" borderId="0" xfId="5" applyNumberFormat="1" applyFont="1" applyFill="1" applyBorder="1">
      <alignment vertical="center"/>
    </xf>
    <xf numFmtId="38" fontId="5" fillId="7" borderId="15" xfId="5" applyFont="1" applyFill="1" applyBorder="1">
      <alignment vertical="center"/>
    </xf>
    <xf numFmtId="38" fontId="5" fillId="7" borderId="16" xfId="5" applyFont="1" applyFill="1" applyBorder="1">
      <alignment vertical="center"/>
    </xf>
    <xf numFmtId="38" fontId="5" fillId="4" borderId="10" xfId="5" applyFont="1" applyFill="1" applyBorder="1">
      <alignment vertical="center"/>
    </xf>
    <xf numFmtId="38" fontId="5" fillId="4" borderId="11" xfId="5" applyFont="1" applyFill="1" applyBorder="1">
      <alignment vertical="center"/>
    </xf>
    <xf numFmtId="38" fontId="5" fillId="4" borderId="12" xfId="5" applyFont="1" applyFill="1" applyBorder="1">
      <alignment vertical="center"/>
    </xf>
    <xf numFmtId="38" fontId="5" fillId="4" borderId="13" xfId="5" applyFont="1" applyFill="1" applyBorder="1">
      <alignment vertical="center"/>
    </xf>
    <xf numFmtId="38" fontId="5" fillId="4" borderId="0" xfId="5" applyFont="1" applyFill="1" applyBorder="1">
      <alignment vertical="center"/>
    </xf>
    <xf numFmtId="38" fontId="5" fillId="4" borderId="14" xfId="5" applyFont="1" applyFill="1" applyBorder="1">
      <alignment vertical="center"/>
    </xf>
    <xf numFmtId="38" fontId="5" fillId="4" borderId="32" xfId="5" applyFont="1" applyFill="1" applyBorder="1">
      <alignment vertical="center"/>
    </xf>
    <xf numFmtId="40" fontId="5" fillId="4" borderId="0" xfId="1" applyNumberFormat="1" applyFont="1" applyFill="1" applyBorder="1">
      <alignment vertical="center"/>
    </xf>
    <xf numFmtId="38" fontId="5" fillId="4" borderId="0" xfId="5" applyFont="1" applyFill="1" applyBorder="1" applyAlignment="1">
      <alignment horizontal="right" vertical="center"/>
    </xf>
    <xf numFmtId="40" fontId="5" fillId="4" borderId="0" xfId="5" applyNumberFormat="1" applyFont="1" applyFill="1" applyBorder="1">
      <alignment vertical="center"/>
    </xf>
    <xf numFmtId="38" fontId="5" fillId="4" borderId="15" xfId="5" applyFont="1" applyFill="1" applyBorder="1">
      <alignment vertical="center"/>
    </xf>
    <xf numFmtId="10" fontId="5" fillId="5" borderId="0" xfId="2" applyNumberFormat="1" applyFont="1" applyFill="1">
      <alignment vertical="center"/>
    </xf>
    <xf numFmtId="38" fontId="5" fillId="5" borderId="0" xfId="5" applyFont="1" applyFill="1" applyBorder="1">
      <alignment vertical="center"/>
    </xf>
    <xf numFmtId="176" fontId="5" fillId="0" borderId="0" xfId="1" applyNumberFormat="1" applyFont="1">
      <alignment vertical="center"/>
    </xf>
    <xf numFmtId="0" fontId="0" fillId="0" borderId="0" xfId="0" applyAlignment="1">
      <alignment vertical="center" wrapText="1"/>
    </xf>
    <xf numFmtId="38" fontId="5" fillId="5" borderId="17" xfId="5" applyFont="1" applyFill="1" applyBorder="1">
      <alignment vertical="center"/>
    </xf>
    <xf numFmtId="38" fontId="5" fillId="5" borderId="31" xfId="5" applyFont="1" applyFill="1" applyBorder="1">
      <alignment vertical="center"/>
    </xf>
    <xf numFmtId="0" fontId="0" fillId="0" borderId="0" xfId="0" applyAlignment="1">
      <alignment horizontal="center" vertical="center"/>
    </xf>
    <xf numFmtId="178" fontId="5" fillId="0" borderId="0" xfId="2" applyNumberFormat="1" applyFont="1">
      <alignment vertical="center"/>
    </xf>
    <xf numFmtId="10" fontId="5" fillId="0" borderId="0" xfId="2" applyNumberFormat="1" applyFont="1">
      <alignment vertical="center"/>
    </xf>
    <xf numFmtId="179" fontId="5" fillId="0" borderId="0" xfId="5" applyNumberFormat="1" applyFont="1">
      <alignment vertical="center"/>
    </xf>
    <xf numFmtId="38" fontId="5" fillId="0" borderId="27" xfId="5" applyFont="1" applyBorder="1">
      <alignment vertical="center"/>
    </xf>
    <xf numFmtId="38" fontId="5" fillId="7" borderId="0" xfId="5" applyFont="1" applyFill="1">
      <alignment vertical="center"/>
    </xf>
    <xf numFmtId="38" fontId="5" fillId="8" borderId="10" xfId="5" applyFont="1" applyFill="1" applyBorder="1">
      <alignment vertical="center"/>
    </xf>
    <xf numFmtId="38" fontId="5" fillId="8" borderId="15" xfId="5" applyFont="1" applyFill="1" applyBorder="1">
      <alignment vertical="center"/>
    </xf>
    <xf numFmtId="38" fontId="5" fillId="8" borderId="17" xfId="5" applyFont="1" applyFill="1" applyBorder="1">
      <alignment vertical="center"/>
    </xf>
    <xf numFmtId="38" fontId="5" fillId="8" borderId="13" xfId="5" applyFont="1" applyFill="1" applyBorder="1">
      <alignment vertical="center"/>
    </xf>
    <xf numFmtId="38" fontId="5" fillId="0" borderId="0" xfId="5" applyFont="1" applyFill="1" applyBorder="1">
      <alignment vertical="center"/>
    </xf>
    <xf numFmtId="180" fontId="5" fillId="5" borderId="0" xfId="2" applyNumberFormat="1" applyFont="1" applyFill="1">
      <alignment vertical="center"/>
    </xf>
    <xf numFmtId="178" fontId="5" fillId="0" borderId="0" xfId="5" applyNumberFormat="1" applyFont="1">
      <alignment vertical="center"/>
    </xf>
    <xf numFmtId="38" fontId="9" fillId="0" borderId="0" xfId="5" applyFont="1">
      <alignment vertical="center"/>
    </xf>
    <xf numFmtId="10" fontId="5" fillId="4" borderId="0" xfId="2" applyNumberFormat="1" applyFont="1" applyFill="1">
      <alignment vertical="center"/>
    </xf>
    <xf numFmtId="38" fontId="10" fillId="2" borderId="11" xfId="3" applyNumberFormat="1" applyFont="1" applyBorder="1">
      <alignment vertical="center"/>
    </xf>
    <xf numFmtId="38" fontId="5" fillId="5" borderId="33" xfId="1" applyFont="1" applyFill="1" applyBorder="1" applyAlignment="1">
      <alignment vertical="center"/>
    </xf>
    <xf numFmtId="38" fontId="5" fillId="4" borderId="34" xfId="1" applyFont="1" applyFill="1" applyBorder="1" applyAlignment="1">
      <alignment vertical="center"/>
    </xf>
    <xf numFmtId="38" fontId="5" fillId="4" borderId="35" xfId="1" applyFont="1" applyFill="1" applyBorder="1" applyAlignment="1">
      <alignment vertical="center"/>
    </xf>
    <xf numFmtId="177" fontId="5" fillId="0" borderId="0" xfId="5" applyNumberFormat="1" applyFont="1" applyBorder="1" applyAlignment="1">
      <alignment horizontal="left" vertical="center"/>
    </xf>
    <xf numFmtId="0" fontId="0" fillId="0" borderId="0" xfId="0" applyAlignment="1">
      <alignment horizontal="center" vertical="center"/>
    </xf>
    <xf numFmtId="40" fontId="5" fillId="5" borderId="0" xfId="1" applyNumberFormat="1" applyFont="1" applyFill="1">
      <alignment vertical="center"/>
    </xf>
    <xf numFmtId="0" fontId="0" fillId="5" borderId="10" xfId="0" applyFont="1" applyFill="1" applyBorder="1" applyAlignment="1">
      <alignment horizontal="center" vertical="center"/>
    </xf>
    <xf numFmtId="0" fontId="0" fillId="5" borderId="32" xfId="0" applyFont="1" applyFill="1" applyBorder="1" applyAlignment="1">
      <alignment horizontal="center" vertical="center"/>
    </xf>
    <xf numFmtId="0" fontId="0" fillId="11" borderId="41" xfId="0" applyFont="1" applyFill="1" applyBorder="1">
      <alignment vertical="center"/>
    </xf>
    <xf numFmtId="0" fontId="0" fillId="11" borderId="42" xfId="0" applyFont="1" applyFill="1" applyBorder="1">
      <alignment vertical="center"/>
    </xf>
    <xf numFmtId="0" fontId="0" fillId="11" borderId="42" xfId="0" applyFont="1" applyFill="1" applyBorder="1" applyAlignment="1">
      <alignment horizontal="center" vertical="center"/>
    </xf>
    <xf numFmtId="0" fontId="0" fillId="5" borderId="42" xfId="0" applyFont="1" applyFill="1" applyBorder="1">
      <alignment vertical="center"/>
    </xf>
    <xf numFmtId="0" fontId="11" fillId="10" borderId="44" xfId="0" applyFont="1" applyFill="1" applyBorder="1">
      <alignment vertical="center"/>
    </xf>
    <xf numFmtId="0" fontId="11" fillId="10" borderId="45" xfId="0" applyFont="1" applyFill="1" applyBorder="1">
      <alignment vertical="center"/>
    </xf>
    <xf numFmtId="0" fontId="0" fillId="11" borderId="44" xfId="0" applyFont="1" applyFill="1" applyBorder="1">
      <alignment vertical="center"/>
    </xf>
    <xf numFmtId="0" fontId="0" fillId="11" borderId="45" xfId="0" applyFont="1" applyFill="1" applyBorder="1">
      <alignment vertical="center"/>
    </xf>
    <xf numFmtId="0" fontId="0" fillId="11" borderId="45" xfId="0" applyFont="1" applyFill="1" applyBorder="1" applyAlignment="1">
      <alignment horizontal="center" vertical="center"/>
    </xf>
    <xf numFmtId="0" fontId="0" fillId="11" borderId="46" xfId="0" applyFont="1" applyFill="1" applyBorder="1" applyAlignment="1">
      <alignment horizontal="center" vertical="center"/>
    </xf>
    <xf numFmtId="0" fontId="0" fillId="0" borderId="44" xfId="0" applyFont="1" applyBorder="1">
      <alignment vertical="center"/>
    </xf>
    <xf numFmtId="0" fontId="0" fillId="0" borderId="45" xfId="0" applyFont="1" applyBorder="1">
      <alignment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vertical="center" wrapText="1"/>
    </xf>
    <xf numFmtId="0" fontId="0" fillId="5" borderId="45" xfId="0" applyFont="1" applyFill="1" applyBorder="1" applyAlignment="1">
      <alignment horizontal="center" vertical="center"/>
    </xf>
    <xf numFmtId="0" fontId="0" fillId="7" borderId="45" xfId="0" applyFont="1" applyFill="1" applyBorder="1" applyAlignment="1">
      <alignment horizontal="center" vertical="center"/>
    </xf>
    <xf numFmtId="0" fontId="0" fillId="11" borderId="44" xfId="0" applyFont="1" applyFill="1" applyBorder="1" applyAlignment="1">
      <alignment vertical="center" wrapText="1"/>
    </xf>
    <xf numFmtId="0" fontId="0" fillId="11" borderId="10" xfId="0" applyFont="1" applyFill="1" applyBorder="1" applyAlignment="1">
      <alignment horizontal="center" vertical="center"/>
    </xf>
    <xf numFmtId="0" fontId="0" fillId="11" borderId="11" xfId="0" applyFont="1" applyFill="1" applyBorder="1" applyAlignment="1">
      <alignment horizontal="center" vertical="center"/>
    </xf>
    <xf numFmtId="0" fontId="0" fillId="11" borderId="47"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11" borderId="45" xfId="0" applyFont="1" applyFill="1" applyBorder="1" applyAlignment="1">
      <alignment vertical="center" wrapText="1"/>
    </xf>
    <xf numFmtId="0" fontId="0" fillId="5" borderId="48" xfId="0" applyFont="1" applyFill="1" applyBorder="1" applyAlignment="1">
      <alignment horizontal="center" vertical="center"/>
    </xf>
    <xf numFmtId="0" fontId="0" fillId="0" borderId="45" xfId="0" applyFont="1" applyBorder="1" applyAlignment="1">
      <alignment vertical="center" wrapText="1"/>
    </xf>
    <xf numFmtId="0" fontId="0" fillId="5" borderId="47" xfId="0" applyFont="1" applyFill="1" applyBorder="1" applyAlignment="1">
      <alignment horizontal="center" vertical="center"/>
    </xf>
    <xf numFmtId="0" fontId="0" fillId="11" borderId="49" xfId="0" applyFont="1" applyFill="1" applyBorder="1" applyAlignment="1">
      <alignment horizontal="center" vertical="center"/>
    </xf>
    <xf numFmtId="0" fontId="0" fillId="0" borderId="45" xfId="0" applyFont="1" applyBorder="1" applyAlignment="1">
      <alignment horizontal="center" vertical="center" wrapText="1"/>
    </xf>
    <xf numFmtId="0" fontId="0" fillId="7" borderId="0" xfId="0" applyFont="1" applyFill="1" applyBorder="1" applyAlignment="1">
      <alignment horizontal="center" vertical="center"/>
    </xf>
    <xf numFmtId="0" fontId="0" fillId="7" borderId="50" xfId="0" applyFont="1" applyFill="1" applyBorder="1" applyAlignment="1">
      <alignment horizontal="center" vertical="center"/>
    </xf>
    <xf numFmtId="0" fontId="8" fillId="11" borderId="45" xfId="0" applyFont="1" applyFill="1" applyBorder="1" applyAlignment="1">
      <alignment horizontal="center" vertical="center"/>
    </xf>
    <xf numFmtId="0" fontId="8" fillId="0" borderId="45" xfId="0" applyFont="1" applyBorder="1" applyAlignment="1">
      <alignment horizontal="center" vertical="center"/>
    </xf>
    <xf numFmtId="0" fontId="0" fillId="11" borderId="45" xfId="0" applyFont="1" applyFill="1" applyBorder="1" applyAlignment="1">
      <alignment horizontal="center" vertical="center" wrapText="1"/>
    </xf>
    <xf numFmtId="0" fontId="0" fillId="0" borderId="0" xfId="0" applyFont="1" applyBorder="1" applyAlignment="1">
      <alignment horizontal="center" vertical="center"/>
    </xf>
    <xf numFmtId="0" fontId="0" fillId="5" borderId="0" xfId="0" applyFont="1" applyFill="1" applyBorder="1" applyAlignment="1">
      <alignment horizontal="center" vertical="center"/>
    </xf>
    <xf numFmtId="0" fontId="0" fillId="7" borderId="0" xfId="0" applyFont="1" applyFill="1" applyBorder="1">
      <alignment vertical="center"/>
    </xf>
    <xf numFmtId="0" fontId="0" fillId="11" borderId="45" xfId="0" applyFont="1" applyFill="1" applyBorder="1" applyAlignment="1">
      <alignment horizontal="center" vertical="center"/>
    </xf>
    <xf numFmtId="0" fontId="0" fillId="11" borderId="42" xfId="0" applyFont="1" applyFill="1" applyBorder="1" applyAlignment="1">
      <alignment horizontal="center" vertical="center"/>
    </xf>
    <xf numFmtId="0" fontId="0" fillId="11" borderId="46" xfId="0" applyFont="1" applyFill="1" applyBorder="1" applyAlignment="1">
      <alignment horizontal="center" vertical="center"/>
    </xf>
    <xf numFmtId="177" fontId="5" fillId="0" borderId="0" xfId="5" applyNumberFormat="1" applyFont="1" applyFill="1" applyBorder="1">
      <alignment vertical="center"/>
    </xf>
    <xf numFmtId="38" fontId="8" fillId="0" borderId="0" xfId="5" applyFont="1" applyFill="1" applyBorder="1">
      <alignment vertical="center"/>
    </xf>
    <xf numFmtId="38" fontId="5" fillId="0" borderId="34" xfId="5" applyFont="1" applyFill="1" applyBorder="1">
      <alignment vertical="center"/>
    </xf>
    <xf numFmtId="38" fontId="5" fillId="0" borderId="34" xfId="5" applyFont="1" applyBorder="1">
      <alignment vertical="center"/>
    </xf>
    <xf numFmtId="176" fontId="5" fillId="7" borderId="0" xfId="5" applyNumberFormat="1" applyFont="1" applyFill="1">
      <alignment vertical="center"/>
    </xf>
    <xf numFmtId="38" fontId="16" fillId="0" borderId="0" xfId="5" applyFont="1">
      <alignment vertical="center"/>
    </xf>
    <xf numFmtId="38" fontId="5" fillId="6" borderId="0" xfId="5" applyFont="1" applyFill="1" applyBorder="1">
      <alignment vertical="center"/>
    </xf>
    <xf numFmtId="38" fontId="5" fillId="8" borderId="35" xfId="5" applyFont="1" applyFill="1" applyBorder="1">
      <alignment vertical="center"/>
    </xf>
    <xf numFmtId="38" fontId="5" fillId="6" borderId="33" xfId="5" applyFont="1" applyFill="1" applyBorder="1">
      <alignment vertical="center"/>
    </xf>
    <xf numFmtId="38" fontId="5" fillId="0" borderId="35" xfId="5" applyFont="1" applyBorder="1">
      <alignment vertical="center"/>
    </xf>
    <xf numFmtId="38" fontId="5" fillId="0" borderId="33" xfId="5" applyFont="1" applyBorder="1">
      <alignment vertical="center"/>
    </xf>
    <xf numFmtId="38" fontId="9" fillId="0" borderId="0" xfId="5" applyFont="1" applyFill="1">
      <alignment vertical="center"/>
    </xf>
    <xf numFmtId="38" fontId="9" fillId="5" borderId="0" xfId="5" applyFont="1" applyFill="1">
      <alignment vertical="center"/>
    </xf>
    <xf numFmtId="178" fontId="5" fillId="0" borderId="0" xfId="6" applyNumberFormat="1" applyFont="1">
      <alignment vertical="center"/>
    </xf>
    <xf numFmtId="40" fontId="5" fillId="4" borderId="0" xfId="5" applyNumberFormat="1" applyFont="1" applyFill="1">
      <alignment vertical="center"/>
    </xf>
    <xf numFmtId="9" fontId="5" fillId="0" borderId="0" xfId="6" applyFont="1">
      <alignment vertical="center"/>
    </xf>
    <xf numFmtId="38" fontId="9" fillId="5" borderId="52" xfId="5" applyFont="1" applyFill="1" applyBorder="1">
      <alignment vertical="center"/>
    </xf>
    <xf numFmtId="38" fontId="9" fillId="4" borderId="16" xfId="5" applyFont="1" applyFill="1" applyBorder="1">
      <alignment vertical="center"/>
    </xf>
    <xf numFmtId="38" fontId="9" fillId="4" borderId="0" xfId="5" applyFont="1" applyFill="1">
      <alignment vertical="center"/>
    </xf>
    <xf numFmtId="0" fontId="0" fillId="0" borderId="0" xfId="0" applyFont="1" applyFill="1" applyBorder="1" applyAlignment="1">
      <alignment horizontal="center" vertical="center"/>
    </xf>
    <xf numFmtId="0" fontId="0" fillId="11" borderId="0" xfId="0" applyFont="1" applyFill="1" applyBorder="1" applyAlignment="1">
      <alignment horizontal="center" vertical="center"/>
    </xf>
    <xf numFmtId="0" fontId="0" fillId="0" borderId="42" xfId="0" applyFont="1" applyFill="1" applyBorder="1">
      <alignment vertical="center"/>
    </xf>
    <xf numFmtId="0" fontId="0" fillId="0" borderId="42" xfId="0" applyFont="1" applyFill="1" applyBorder="1" applyAlignment="1">
      <alignment horizontal="center" vertical="center"/>
    </xf>
    <xf numFmtId="38" fontId="16" fillId="0" borderId="0" xfId="5" applyFont="1" applyFill="1">
      <alignment vertical="center"/>
    </xf>
    <xf numFmtId="38" fontId="17" fillId="0" borderId="0" xfId="5" applyFont="1" applyFill="1">
      <alignment vertical="center"/>
    </xf>
    <xf numFmtId="38" fontId="9" fillId="13" borderId="0" xfId="5" applyFont="1" applyFill="1">
      <alignment vertical="center"/>
    </xf>
    <xf numFmtId="38" fontId="9" fillId="13" borderId="0" xfId="5" applyFont="1" applyFill="1" applyBorder="1">
      <alignment vertical="center"/>
    </xf>
    <xf numFmtId="38" fontId="5" fillId="5" borderId="34" xfId="5" applyFont="1" applyFill="1" applyBorder="1">
      <alignment vertical="center"/>
    </xf>
    <xf numFmtId="177" fontId="5" fillId="0" borderId="0" xfId="5" applyNumberFormat="1" applyFont="1" applyFill="1" applyBorder="1" applyAlignment="1">
      <alignment horizontal="center" vertical="center"/>
    </xf>
    <xf numFmtId="38" fontId="5" fillId="14" borderId="0" xfId="5" applyFont="1" applyFill="1">
      <alignment vertical="center"/>
    </xf>
    <xf numFmtId="38" fontId="18" fillId="14" borderId="0" xfId="5" applyFont="1" applyFill="1">
      <alignment vertical="center"/>
    </xf>
    <xf numFmtId="38" fontId="5" fillId="14" borderId="0" xfId="5" quotePrefix="1" applyFont="1" applyFill="1">
      <alignment vertical="center"/>
    </xf>
    <xf numFmtId="38" fontId="5" fillId="15" borderId="0" xfId="5" applyFont="1" applyFill="1">
      <alignment vertical="center"/>
    </xf>
    <xf numFmtId="38" fontId="5" fillId="15" borderId="16" xfId="5" applyFont="1" applyFill="1" applyBorder="1">
      <alignment vertical="center"/>
    </xf>
    <xf numFmtId="0" fontId="0" fillId="11" borderId="42" xfId="0" applyFont="1" applyFill="1" applyBorder="1" applyAlignment="1">
      <alignment horizontal="center" vertical="center"/>
    </xf>
    <xf numFmtId="0" fontId="0" fillId="11" borderId="43" xfId="0" applyFont="1" applyFill="1" applyBorder="1" applyAlignment="1">
      <alignment horizontal="center" vertical="center"/>
    </xf>
    <xf numFmtId="0" fontId="0" fillId="11" borderId="45" xfId="0" applyFont="1" applyFill="1" applyBorder="1" applyAlignment="1">
      <alignment horizontal="center" vertical="center"/>
    </xf>
    <xf numFmtId="0" fontId="0" fillId="11" borderId="42" xfId="0" applyFont="1" applyFill="1" applyBorder="1" applyAlignment="1">
      <alignment horizontal="center" vertical="center"/>
    </xf>
    <xf numFmtId="0" fontId="0" fillId="11" borderId="43" xfId="0" applyFont="1" applyFill="1" applyBorder="1" applyAlignment="1">
      <alignment horizontal="center" vertical="center"/>
    </xf>
    <xf numFmtId="178" fontId="5" fillId="4" borderId="0" xfId="2" applyNumberFormat="1" applyFont="1" applyFill="1">
      <alignment vertical="center"/>
    </xf>
    <xf numFmtId="0" fontId="0" fillId="0" borderId="0" xfId="0" applyFill="1" applyBorder="1">
      <alignment vertical="center"/>
    </xf>
    <xf numFmtId="0" fontId="11" fillId="0" borderId="0" xfId="0" applyFont="1" applyFill="1" applyBorder="1">
      <alignment vertical="center"/>
    </xf>
    <xf numFmtId="0" fontId="0" fillId="0" borderId="0" xfId="0" applyFill="1" applyBorder="1" applyAlignment="1">
      <alignment horizontal="center" vertical="center"/>
    </xf>
    <xf numFmtId="0" fontId="0" fillId="11" borderId="55" xfId="0" applyFont="1" applyFill="1" applyBorder="1" applyAlignment="1">
      <alignment horizontal="center" vertical="center"/>
    </xf>
    <xf numFmtId="0" fontId="7" fillId="11" borderId="45" xfId="0" applyFont="1" applyFill="1" applyBorder="1">
      <alignment vertical="center"/>
    </xf>
    <xf numFmtId="0" fontId="7" fillId="11" borderId="45" xfId="0" applyFont="1" applyFill="1" applyBorder="1" applyAlignment="1">
      <alignment horizontal="center" vertical="center"/>
    </xf>
    <xf numFmtId="0" fontId="0" fillId="0" borderId="45"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5" xfId="0" applyFont="1" applyBorder="1" applyAlignment="1">
      <alignment horizontal="center" vertical="center" shrinkToFit="1"/>
    </xf>
    <xf numFmtId="38" fontId="23" fillId="2" borderId="2" xfId="4" applyNumberFormat="1" applyFont="1" applyBorder="1">
      <alignment vertical="center"/>
    </xf>
    <xf numFmtId="38" fontId="23" fillId="2" borderId="3" xfId="4" applyNumberFormat="1" applyFont="1" applyBorder="1">
      <alignment vertical="center"/>
    </xf>
    <xf numFmtId="38" fontId="23" fillId="2" borderId="4" xfId="4" applyNumberFormat="1" applyFont="1" applyBorder="1">
      <alignment vertical="center"/>
    </xf>
    <xf numFmtId="38" fontId="23" fillId="2" borderId="0" xfId="4" applyNumberFormat="1" applyFont="1" applyBorder="1">
      <alignment vertical="center"/>
    </xf>
    <xf numFmtId="38" fontId="23" fillId="2" borderId="6" xfId="4" applyNumberFormat="1" applyFont="1" applyBorder="1">
      <alignment vertical="center"/>
    </xf>
    <xf numFmtId="38" fontId="23" fillId="2" borderId="8" xfId="4" applyNumberFormat="1" applyFont="1" applyBorder="1">
      <alignment vertical="center"/>
    </xf>
    <xf numFmtId="38" fontId="8" fillId="2" borderId="8" xfId="4" applyNumberFormat="1" applyFont="1" applyBorder="1">
      <alignment vertical="center"/>
    </xf>
    <xf numFmtId="38" fontId="23" fillId="2" borderId="9" xfId="4" applyNumberFormat="1" applyFont="1" applyBorder="1">
      <alignment vertical="center"/>
    </xf>
    <xf numFmtId="38" fontId="23" fillId="0" borderId="0" xfId="4" applyNumberFormat="1" applyFont="1" applyFill="1" applyBorder="1">
      <alignment vertical="center"/>
    </xf>
    <xf numFmtId="38" fontId="23" fillId="2" borderId="10" xfId="3" applyNumberFormat="1" applyFont="1" applyBorder="1">
      <alignment vertical="center"/>
    </xf>
    <xf numFmtId="38" fontId="24" fillId="2" borderId="11" xfId="3" applyNumberFormat="1" applyFont="1" applyBorder="1">
      <alignment vertical="center"/>
    </xf>
    <xf numFmtId="38" fontId="23" fillId="2" borderId="11" xfId="3" applyNumberFormat="1" applyFont="1" applyBorder="1">
      <alignment vertical="center"/>
    </xf>
    <xf numFmtId="38" fontId="23" fillId="2" borderId="12" xfId="3" applyNumberFormat="1" applyFont="1" applyBorder="1">
      <alignment vertical="center"/>
    </xf>
    <xf numFmtId="38" fontId="23" fillId="2" borderId="13" xfId="3" applyNumberFormat="1" applyFont="1" applyBorder="1">
      <alignment vertical="center"/>
    </xf>
    <xf numFmtId="38" fontId="23" fillId="2" borderId="0" xfId="3" applyNumberFormat="1" applyFont="1" applyBorder="1">
      <alignment vertical="center"/>
    </xf>
    <xf numFmtId="38" fontId="23" fillId="2" borderId="14" xfId="3" applyNumberFormat="1" applyFont="1" applyBorder="1">
      <alignment vertical="center"/>
    </xf>
    <xf numFmtId="38" fontId="23" fillId="2" borderId="15" xfId="3" applyNumberFormat="1" applyFont="1" applyBorder="1">
      <alignment vertical="center"/>
    </xf>
    <xf numFmtId="38" fontId="23" fillId="2" borderId="16" xfId="3" applyNumberFormat="1" applyFont="1" applyBorder="1">
      <alignment vertical="center"/>
    </xf>
    <xf numFmtId="38" fontId="23" fillId="2" borderId="17" xfId="3" applyNumberFormat="1" applyFont="1" applyBorder="1">
      <alignment vertical="center"/>
    </xf>
    <xf numFmtId="38" fontId="23" fillId="0" borderId="0" xfId="3" applyNumberFormat="1" applyFont="1" applyFill="1" applyBorder="1">
      <alignment vertical="center"/>
    </xf>
    <xf numFmtId="38" fontId="4" fillId="2" borderId="10" xfId="3" applyNumberFormat="1" applyFont="1" applyBorder="1">
      <alignment vertical="center"/>
    </xf>
    <xf numFmtId="38" fontId="4" fillId="2" borderId="13" xfId="3" applyNumberFormat="1" applyFont="1" applyBorder="1">
      <alignment vertical="center"/>
    </xf>
    <xf numFmtId="38" fontId="23" fillId="0" borderId="0" xfId="3" quotePrefix="1" applyNumberFormat="1" applyFont="1" applyFill="1" applyBorder="1">
      <alignment vertical="center"/>
    </xf>
    <xf numFmtId="38" fontId="5" fillId="0" borderId="32" xfId="5" applyFont="1" applyBorder="1" applyAlignment="1">
      <alignment vertical="center"/>
    </xf>
    <xf numFmtId="38" fontId="5" fillId="0" borderId="37" xfId="5" applyFont="1" applyBorder="1" applyAlignment="1">
      <alignment vertical="center"/>
    </xf>
    <xf numFmtId="38" fontId="5" fillId="0" borderId="31" xfId="5" applyFont="1" applyBorder="1" applyAlignment="1">
      <alignment vertical="center"/>
    </xf>
    <xf numFmtId="38" fontId="5" fillId="15" borderId="32" xfId="5" applyFont="1" applyFill="1" applyBorder="1" applyAlignment="1">
      <alignment vertical="center"/>
    </xf>
    <xf numFmtId="38" fontId="5" fillId="15" borderId="31" xfId="5" applyFont="1" applyFill="1" applyBorder="1" applyAlignment="1">
      <alignment vertical="center"/>
    </xf>
    <xf numFmtId="38" fontId="5" fillId="17" borderId="13" xfId="5" applyFont="1" applyFill="1" applyBorder="1">
      <alignment vertical="center"/>
    </xf>
    <xf numFmtId="40" fontId="5" fillId="17" borderId="15" xfId="5" applyNumberFormat="1" applyFont="1" applyFill="1" applyBorder="1">
      <alignment vertical="center"/>
    </xf>
    <xf numFmtId="40" fontId="5" fillId="6" borderId="16" xfId="5" applyNumberFormat="1" applyFont="1" applyFill="1" applyBorder="1">
      <alignment vertical="center"/>
    </xf>
    <xf numFmtId="38" fontId="5" fillId="0" borderId="0" xfId="5" applyFont="1" applyAlignment="1">
      <alignment vertical="center" wrapText="1"/>
    </xf>
    <xf numFmtId="38" fontId="5" fillId="0" borderId="27" xfId="1" applyFont="1" applyBorder="1">
      <alignment vertical="center"/>
    </xf>
    <xf numFmtId="10" fontId="5" fillId="0" borderId="0" xfId="2" applyNumberFormat="1" applyFont="1" applyFill="1">
      <alignment vertical="center"/>
    </xf>
    <xf numFmtId="0" fontId="0" fillId="11" borderId="42" xfId="0" applyFont="1" applyFill="1" applyBorder="1" applyAlignment="1">
      <alignment horizontal="center" vertical="center"/>
    </xf>
    <xf numFmtId="0" fontId="0" fillId="0" borderId="42" xfId="0" applyFont="1" applyBorder="1" applyAlignment="1">
      <alignment horizontal="center" vertical="center"/>
    </xf>
    <xf numFmtId="0" fontId="0" fillId="11" borderId="45" xfId="0" applyFont="1" applyFill="1" applyBorder="1" applyAlignment="1">
      <alignment horizontal="center" vertical="center"/>
    </xf>
    <xf numFmtId="38" fontId="5" fillId="4" borderId="0" xfId="5" quotePrefix="1" applyFont="1" applyFill="1">
      <alignment vertical="center"/>
    </xf>
    <xf numFmtId="40" fontId="5" fillId="4" borderId="0" xfId="1" applyNumberFormat="1" applyFont="1" applyFill="1">
      <alignment vertical="center"/>
    </xf>
    <xf numFmtId="179" fontId="5" fillId="0" borderId="0" xfId="1" applyNumberFormat="1" applyFont="1">
      <alignment vertical="center"/>
    </xf>
    <xf numFmtId="177" fontId="5" fillId="5" borderId="0" xfId="1" applyNumberFormat="1" applyFont="1" applyFill="1">
      <alignment vertical="center"/>
    </xf>
    <xf numFmtId="38" fontId="8" fillId="0" borderId="0" xfId="5" quotePrefix="1" applyFont="1">
      <alignment vertical="center"/>
    </xf>
    <xf numFmtId="0" fontId="0" fillId="0" borderId="45" xfId="0" applyFont="1" applyFill="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26" fillId="11" borderId="45" xfId="0" applyFont="1" applyFill="1" applyBorder="1" applyAlignment="1">
      <alignment horizontal="center" vertical="center" wrapText="1"/>
    </xf>
    <xf numFmtId="0" fontId="26" fillId="11" borderId="45" xfId="0" applyFont="1" applyFill="1" applyBorder="1" applyAlignment="1">
      <alignment horizontal="center" vertical="center"/>
    </xf>
    <xf numFmtId="0" fontId="17" fillId="11" borderId="46" xfId="0" applyFont="1" applyFill="1" applyBorder="1" applyAlignment="1">
      <alignment horizontal="center" vertical="center"/>
    </xf>
    <xf numFmtId="0" fontId="17" fillId="0" borderId="45" xfId="0" applyFont="1" applyBorder="1" applyAlignment="1">
      <alignment horizontal="center" vertical="center" shrinkToFit="1"/>
    </xf>
    <xf numFmtId="0" fontId="17" fillId="0" borderId="46" xfId="0" applyFont="1" applyBorder="1" applyAlignment="1">
      <alignment horizontal="center" vertical="center" shrinkToFit="1"/>
    </xf>
    <xf numFmtId="0" fontId="17" fillId="11" borderId="42" xfId="0" applyFont="1" applyFill="1" applyBorder="1" applyAlignment="1">
      <alignment horizontal="center" vertical="center"/>
    </xf>
    <xf numFmtId="0" fontId="17" fillId="11" borderId="43" xfId="0" applyFont="1" applyFill="1" applyBorder="1" applyAlignment="1">
      <alignment horizontal="center" vertical="center"/>
    </xf>
    <xf numFmtId="0" fontId="17" fillId="11" borderId="45" xfId="0" applyFont="1" applyFill="1" applyBorder="1" applyAlignment="1">
      <alignment horizontal="center" vertical="center"/>
    </xf>
    <xf numFmtId="0" fontId="17" fillId="11" borderId="45" xfId="0" applyFont="1" applyFill="1" applyBorder="1" applyAlignment="1">
      <alignment horizontal="center" vertical="center" wrapText="1"/>
    </xf>
    <xf numFmtId="0" fontId="0" fillId="11" borderId="0" xfId="0" applyFont="1" applyFill="1" applyBorder="1" applyAlignment="1">
      <alignment horizontal="center" vertical="center"/>
    </xf>
    <xf numFmtId="0" fontId="0" fillId="11" borderId="42" xfId="0" applyFont="1" applyFill="1" applyBorder="1" applyAlignment="1">
      <alignment horizontal="center" vertical="center"/>
    </xf>
    <xf numFmtId="0" fontId="0" fillId="11" borderId="45" xfId="0" applyFont="1" applyFill="1" applyBorder="1" applyAlignment="1">
      <alignment horizontal="center" vertical="center"/>
    </xf>
    <xf numFmtId="0" fontId="0" fillId="11" borderId="42" xfId="0" applyFont="1" applyFill="1" applyBorder="1" applyAlignment="1">
      <alignment horizontal="center" vertical="center"/>
    </xf>
    <xf numFmtId="0" fontId="0" fillId="11" borderId="0" xfId="0" applyFont="1" applyFill="1" applyBorder="1" applyAlignment="1">
      <alignment horizontal="center" vertical="center"/>
    </xf>
    <xf numFmtId="0" fontId="0" fillId="11" borderId="45" xfId="0" applyFont="1" applyFill="1" applyBorder="1" applyAlignment="1">
      <alignment horizontal="center" vertical="center"/>
    </xf>
    <xf numFmtId="10" fontId="5" fillId="7" borderId="0" xfId="2" applyNumberFormat="1" applyFont="1" applyFill="1">
      <alignment vertical="center"/>
    </xf>
    <xf numFmtId="38" fontId="5" fillId="6" borderId="16" xfId="5" applyFont="1" applyFill="1" applyBorder="1">
      <alignment vertical="center"/>
    </xf>
    <xf numFmtId="176" fontId="5" fillId="18" borderId="0" xfId="1" applyNumberFormat="1" applyFont="1" applyFill="1">
      <alignment vertical="center"/>
    </xf>
    <xf numFmtId="10" fontId="5" fillId="0" borderId="59" xfId="2" applyNumberFormat="1" applyFont="1" applyFill="1" applyBorder="1">
      <alignment vertical="center"/>
    </xf>
    <xf numFmtId="38" fontId="5" fillId="0" borderId="59" xfId="5" applyFont="1" applyBorder="1">
      <alignment vertical="center"/>
    </xf>
    <xf numFmtId="38" fontId="9" fillId="15" borderId="60" xfId="5" applyFont="1" applyFill="1" applyBorder="1">
      <alignment vertical="center"/>
    </xf>
    <xf numFmtId="38" fontId="5" fillId="4" borderId="61" xfId="5" applyFont="1" applyFill="1" applyBorder="1">
      <alignment vertical="center"/>
    </xf>
    <xf numFmtId="38" fontId="5" fillId="4" borderId="62" xfId="5" applyFont="1" applyFill="1" applyBorder="1">
      <alignment vertical="center"/>
    </xf>
    <xf numFmtId="38" fontId="5" fillId="7" borderId="62" xfId="5" applyFont="1" applyFill="1" applyBorder="1">
      <alignment vertical="center"/>
    </xf>
    <xf numFmtId="38" fontId="5" fillId="0" borderId="62" xfId="5" applyFont="1" applyBorder="1">
      <alignment vertical="center"/>
    </xf>
    <xf numFmtId="38" fontId="9" fillId="15" borderId="36" xfId="5" applyFont="1" applyFill="1" applyBorder="1">
      <alignment vertical="center"/>
    </xf>
    <xf numFmtId="38" fontId="5" fillId="0" borderId="58" xfId="5" applyFont="1" applyBorder="1">
      <alignment vertical="center"/>
    </xf>
    <xf numFmtId="176" fontId="5" fillId="0" borderId="59" xfId="1" applyNumberFormat="1" applyFont="1" applyBorder="1">
      <alignment vertical="center"/>
    </xf>
    <xf numFmtId="176" fontId="9" fillId="5" borderId="60" xfId="1" applyNumberFormat="1" applyFont="1" applyFill="1" applyBorder="1">
      <alignment vertical="center"/>
    </xf>
    <xf numFmtId="0" fontId="0" fillId="0" borderId="46"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Alignment="1">
      <alignment horizontal="center" vertical="center" wrapText="1"/>
    </xf>
    <xf numFmtId="40" fontId="5" fillId="6" borderId="33" xfId="1" applyNumberFormat="1" applyFont="1" applyFill="1" applyBorder="1">
      <alignment vertical="center"/>
    </xf>
    <xf numFmtId="40" fontId="5" fillId="6" borderId="34" xfId="1" applyNumberFormat="1" applyFont="1" applyFill="1" applyBorder="1">
      <alignment vertical="center"/>
    </xf>
    <xf numFmtId="40" fontId="5" fillId="6" borderId="35" xfId="1" applyNumberFormat="1" applyFont="1" applyFill="1" applyBorder="1">
      <alignment vertical="center"/>
    </xf>
    <xf numFmtId="38" fontId="5" fillId="6" borderId="63" xfId="5" applyFont="1" applyFill="1" applyBorder="1" applyAlignment="1">
      <alignment horizontal="right" vertical="center"/>
    </xf>
    <xf numFmtId="38" fontId="5" fillId="0" borderId="0" xfId="5" applyFont="1" applyBorder="1" applyAlignment="1">
      <alignment horizontal="right" vertical="center"/>
    </xf>
    <xf numFmtId="40" fontId="5" fillId="0" borderId="0" xfId="1" applyNumberFormat="1" applyFont="1" applyBorder="1" applyAlignment="1">
      <alignment horizontal="right" vertical="center"/>
    </xf>
    <xf numFmtId="183" fontId="5" fillId="15" borderId="0" xfId="5" applyNumberFormat="1" applyFont="1" applyFill="1" applyBorder="1">
      <alignment vertical="center"/>
    </xf>
    <xf numFmtId="38" fontId="5" fillId="15" borderId="0" xfId="5" applyFont="1" applyFill="1" applyBorder="1">
      <alignment vertical="center"/>
    </xf>
    <xf numFmtId="40" fontId="5" fillId="0" borderId="0" xfId="1" applyNumberFormat="1" applyFont="1" applyBorder="1">
      <alignment vertical="center"/>
    </xf>
    <xf numFmtId="182" fontId="5" fillId="0" borderId="0" xfId="5" applyNumberFormat="1" applyFont="1" applyBorder="1" applyAlignment="1">
      <alignment horizontal="right" vertical="center"/>
    </xf>
    <xf numFmtId="38" fontId="5" fillId="0" borderId="64" xfId="5" applyFont="1" applyBorder="1">
      <alignment vertical="center"/>
    </xf>
    <xf numFmtId="38" fontId="5" fillId="0" borderId="65" xfId="5" applyFont="1" applyBorder="1">
      <alignment vertical="center"/>
    </xf>
    <xf numFmtId="38" fontId="5" fillId="0" borderId="66" xfId="5" applyFont="1" applyBorder="1">
      <alignment vertical="center"/>
    </xf>
    <xf numFmtId="38" fontId="5" fillId="0" borderId="67" xfId="5" applyFont="1" applyBorder="1">
      <alignment vertical="center"/>
    </xf>
    <xf numFmtId="38" fontId="5" fillId="0" borderId="68" xfId="5" applyFont="1" applyBorder="1">
      <alignment vertical="center"/>
    </xf>
    <xf numFmtId="38" fontId="5" fillId="6" borderId="67" xfId="5" applyFont="1" applyFill="1" applyBorder="1">
      <alignment vertical="center"/>
    </xf>
    <xf numFmtId="38" fontId="5" fillId="0" borderId="67" xfId="5" applyFont="1" applyBorder="1" applyAlignment="1">
      <alignment horizontal="right" vertical="center"/>
    </xf>
    <xf numFmtId="38" fontId="27" fillId="0" borderId="69" xfId="5" applyFont="1" applyBorder="1">
      <alignment vertical="center"/>
    </xf>
    <xf numFmtId="38" fontId="5" fillId="0" borderId="70" xfId="5" applyFont="1" applyBorder="1">
      <alignment vertical="center"/>
    </xf>
    <xf numFmtId="38" fontId="5" fillId="0" borderId="71" xfId="5" applyFont="1" applyBorder="1">
      <alignment vertical="center"/>
    </xf>
    <xf numFmtId="10" fontId="5" fillId="5" borderId="0" xfId="2" applyNumberFormat="1" applyFont="1" applyFill="1" applyBorder="1">
      <alignment vertical="center"/>
    </xf>
    <xf numFmtId="0" fontId="12" fillId="0" borderId="0" xfId="0" applyFont="1">
      <alignment vertical="center"/>
    </xf>
    <xf numFmtId="0" fontId="8" fillId="0" borderId="0" xfId="0" applyFont="1">
      <alignment vertical="center"/>
    </xf>
    <xf numFmtId="0" fontId="28" fillId="0" borderId="0" xfId="0" applyFont="1" applyAlignment="1">
      <alignment horizontal="justify" vertical="center"/>
    </xf>
    <xf numFmtId="38" fontId="29" fillId="0" borderId="0" xfId="3" applyNumberFormat="1" applyFont="1" applyFill="1" applyBorder="1">
      <alignment vertical="center"/>
    </xf>
    <xf numFmtId="0" fontId="0" fillId="0" borderId="63" xfId="0" applyBorder="1">
      <alignment vertical="center"/>
    </xf>
    <xf numFmtId="0" fontId="12" fillId="0" borderId="63" xfId="0" applyFont="1" applyBorder="1">
      <alignment vertical="center"/>
    </xf>
    <xf numFmtId="0" fontId="8" fillId="0" borderId="63" xfId="0" applyFont="1" applyBorder="1">
      <alignment vertical="center"/>
    </xf>
    <xf numFmtId="0" fontId="0" fillId="0" borderId="35" xfId="0" applyBorder="1">
      <alignment vertical="center"/>
    </xf>
    <xf numFmtId="0" fontId="12" fillId="0" borderId="35" xfId="0" applyFont="1" applyBorder="1">
      <alignment vertical="center"/>
    </xf>
    <xf numFmtId="0" fontId="0" fillId="0" borderId="72" xfId="0" applyBorder="1">
      <alignment vertical="center"/>
    </xf>
    <xf numFmtId="0" fontId="12" fillId="0" borderId="73" xfId="0" applyFont="1" applyBorder="1">
      <alignment vertical="center"/>
    </xf>
    <xf numFmtId="0" fontId="12" fillId="0" borderId="74" xfId="0" applyFont="1" applyBorder="1">
      <alignment vertical="center"/>
    </xf>
    <xf numFmtId="0" fontId="0" fillId="0" borderId="63" xfId="0" applyBorder="1" applyAlignment="1">
      <alignment vertical="center" wrapText="1"/>
    </xf>
    <xf numFmtId="0" fontId="0" fillId="0" borderId="63" xfId="0" applyBorder="1">
      <alignment vertical="center"/>
    </xf>
    <xf numFmtId="38" fontId="29" fillId="0" borderId="0" xfId="5" applyFont="1">
      <alignment vertical="center"/>
    </xf>
    <xf numFmtId="38" fontId="29" fillId="2" borderId="11" xfId="3" applyNumberFormat="1" applyFont="1" applyBorder="1">
      <alignment vertical="center"/>
    </xf>
    <xf numFmtId="38" fontId="29" fillId="2" borderId="16" xfId="3" applyNumberFormat="1" applyFont="1" applyBorder="1">
      <alignment vertical="center"/>
    </xf>
    <xf numFmtId="38" fontId="17" fillId="0" borderId="0" xfId="5" applyFont="1">
      <alignment vertical="center"/>
    </xf>
    <xf numFmtId="38" fontId="17" fillId="0" borderId="0" xfId="3" applyNumberFormat="1" applyFont="1" applyFill="1" applyBorder="1">
      <alignment vertical="center"/>
    </xf>
    <xf numFmtId="38" fontId="5" fillId="19" borderId="16" xfId="5" applyFont="1" applyFill="1" applyBorder="1">
      <alignment vertical="center"/>
    </xf>
    <xf numFmtId="38" fontId="5" fillId="19" borderId="0" xfId="5" applyFont="1" applyFill="1">
      <alignment vertical="center"/>
    </xf>
    <xf numFmtId="179" fontId="5" fillId="0" borderId="33" xfId="5" applyNumberFormat="1" applyFont="1" applyBorder="1" applyAlignment="1">
      <alignment horizontal="center" vertical="center"/>
    </xf>
    <xf numFmtId="179" fontId="5" fillId="0" borderId="34" xfId="5" applyNumberFormat="1" applyFont="1" applyBorder="1" applyAlignment="1">
      <alignment horizontal="center" vertical="center"/>
    </xf>
    <xf numFmtId="179" fontId="5" fillId="0" borderId="35" xfId="5" applyNumberFormat="1" applyFont="1" applyBorder="1" applyAlignment="1">
      <alignment horizontal="center" vertical="center"/>
    </xf>
    <xf numFmtId="38" fontId="5" fillId="0" borderId="16" xfId="5" applyFont="1" applyFill="1" applyBorder="1">
      <alignment vertical="center"/>
    </xf>
    <xf numFmtId="38" fontId="14" fillId="20" borderId="0" xfId="5" applyFont="1" applyFill="1">
      <alignment vertical="center"/>
    </xf>
    <xf numFmtId="38" fontId="9" fillId="13" borderId="16" xfId="5" applyFont="1" applyFill="1" applyBorder="1">
      <alignment vertical="center"/>
    </xf>
    <xf numFmtId="38" fontId="5" fillId="0" borderId="0" xfId="5" applyFont="1" applyAlignment="1">
      <alignment horizontal="left" vertical="center"/>
    </xf>
    <xf numFmtId="38" fontId="5" fillId="0" borderId="27" xfId="5" applyFont="1" applyFill="1" applyBorder="1">
      <alignment vertical="center"/>
    </xf>
    <xf numFmtId="38" fontId="5" fillId="0" borderId="0" xfId="5" applyFont="1" applyAlignment="1">
      <alignment horizontal="left" vertical="center" indent="2"/>
    </xf>
    <xf numFmtId="38" fontId="5" fillId="0" borderId="0" xfId="5" applyFont="1" applyAlignment="1">
      <alignment horizontal="center" vertical="center"/>
    </xf>
    <xf numFmtId="38" fontId="5" fillId="21" borderId="0" xfId="5" applyFont="1" applyFill="1">
      <alignment vertical="center"/>
    </xf>
    <xf numFmtId="38" fontId="5" fillId="21" borderId="14" xfId="5" applyFont="1" applyFill="1" applyBorder="1">
      <alignment vertical="center"/>
    </xf>
    <xf numFmtId="38" fontId="5" fillId="22" borderId="0" xfId="5" applyFont="1" applyFill="1" applyBorder="1">
      <alignment vertical="center"/>
    </xf>
    <xf numFmtId="38" fontId="5" fillId="22" borderId="16" xfId="5" applyFont="1" applyFill="1" applyBorder="1">
      <alignment vertical="center"/>
    </xf>
    <xf numFmtId="38" fontId="5" fillId="23" borderId="0" xfId="5" applyFont="1" applyFill="1">
      <alignment vertical="center"/>
    </xf>
    <xf numFmtId="38" fontId="5" fillId="23" borderId="75" xfId="5" applyFont="1" applyFill="1" applyBorder="1">
      <alignment vertical="center"/>
    </xf>
    <xf numFmtId="38" fontId="5" fillId="23" borderId="76" xfId="5" applyFont="1" applyFill="1" applyBorder="1">
      <alignment vertical="center"/>
    </xf>
    <xf numFmtId="38" fontId="5" fillId="23" borderId="77" xfId="5" applyFont="1" applyFill="1" applyBorder="1">
      <alignment vertical="center"/>
    </xf>
    <xf numFmtId="38" fontId="5" fillId="24" borderId="27" xfId="5" applyFont="1" applyFill="1" applyBorder="1">
      <alignment vertical="center"/>
    </xf>
    <xf numFmtId="38" fontId="5" fillId="24" borderId="0" xfId="5" applyFont="1" applyFill="1">
      <alignment vertical="center"/>
    </xf>
    <xf numFmtId="38" fontId="5" fillId="20" borderId="0" xfId="5" applyFont="1" applyFill="1">
      <alignment vertical="center"/>
    </xf>
    <xf numFmtId="38" fontId="31" fillId="20" borderId="0" xfId="5" applyFont="1" applyFill="1">
      <alignment vertical="center"/>
    </xf>
    <xf numFmtId="38" fontId="5" fillId="18" borderId="0" xfId="5" applyFont="1" applyFill="1">
      <alignment vertical="center"/>
    </xf>
    <xf numFmtId="38" fontId="5" fillId="18" borderId="10" xfId="5" applyFont="1" applyFill="1" applyBorder="1">
      <alignment vertical="center"/>
    </xf>
    <xf numFmtId="38" fontId="5" fillId="18" borderId="11" xfId="5" applyFont="1" applyFill="1" applyBorder="1">
      <alignment vertical="center"/>
    </xf>
    <xf numFmtId="38" fontId="5" fillId="18" borderId="12" xfId="5" applyFont="1" applyFill="1" applyBorder="1">
      <alignment vertical="center"/>
    </xf>
    <xf numFmtId="38" fontId="5" fillId="18" borderId="13" xfId="5" applyFont="1" applyFill="1" applyBorder="1">
      <alignment vertical="center"/>
    </xf>
    <xf numFmtId="38" fontId="5" fillId="18" borderId="0" xfId="5" applyFont="1" applyFill="1" applyBorder="1">
      <alignment vertical="center"/>
    </xf>
    <xf numFmtId="38" fontId="5" fillId="18" borderId="14" xfId="5" applyFont="1" applyFill="1" applyBorder="1">
      <alignment vertical="center"/>
    </xf>
    <xf numFmtId="38" fontId="5" fillId="18" borderId="0" xfId="1" applyFont="1" applyFill="1">
      <alignment vertical="center"/>
    </xf>
    <xf numFmtId="38" fontId="5" fillId="18" borderId="15" xfId="5" applyFont="1" applyFill="1" applyBorder="1">
      <alignment vertical="center"/>
    </xf>
    <xf numFmtId="38" fontId="5" fillId="18" borderId="17" xfId="5" applyFont="1" applyFill="1" applyBorder="1">
      <alignment vertical="center"/>
    </xf>
    <xf numFmtId="38" fontId="5" fillId="18" borderId="32" xfId="5" applyFont="1" applyFill="1" applyBorder="1">
      <alignment vertical="center"/>
    </xf>
    <xf numFmtId="38" fontId="5" fillId="18" borderId="37" xfId="5" applyFont="1" applyFill="1" applyBorder="1">
      <alignment vertical="center"/>
    </xf>
    <xf numFmtId="38" fontId="5" fillId="18" borderId="31" xfId="5" applyFont="1" applyFill="1" applyBorder="1">
      <alignment vertical="center"/>
    </xf>
    <xf numFmtId="38" fontId="9" fillId="18" borderId="0" xfId="5" applyFont="1" applyFill="1">
      <alignment vertical="center"/>
    </xf>
    <xf numFmtId="38" fontId="8" fillId="0" borderId="0" xfId="3" applyNumberFormat="1" applyFont="1" applyFill="1" applyBorder="1">
      <alignment vertical="center"/>
    </xf>
    <xf numFmtId="10" fontId="29" fillId="0" borderId="0" xfId="3" applyNumberFormat="1" applyFont="1" applyFill="1" applyBorder="1">
      <alignment vertical="center"/>
    </xf>
    <xf numFmtId="176" fontId="9" fillId="0" borderId="0" xfId="5" applyNumberFormat="1" applyFont="1">
      <alignment vertical="center"/>
    </xf>
    <xf numFmtId="10" fontId="29" fillId="5" borderId="0" xfId="2" applyNumberFormat="1" applyFont="1" applyFill="1" applyBorder="1">
      <alignment vertical="center"/>
    </xf>
    <xf numFmtId="40" fontId="29" fillId="5" borderId="0" xfId="1" applyNumberFormat="1" applyFont="1" applyFill="1" applyBorder="1">
      <alignment vertical="center"/>
    </xf>
    <xf numFmtId="38" fontId="5" fillId="5" borderId="13" xfId="5" applyFont="1" applyFill="1" applyBorder="1">
      <alignment vertical="center"/>
    </xf>
    <xf numFmtId="38" fontId="5" fillId="4" borderId="63" xfId="5" applyFont="1" applyFill="1" applyBorder="1">
      <alignment vertical="center"/>
    </xf>
    <xf numFmtId="38" fontId="5" fillId="4" borderId="37" xfId="5" applyFont="1" applyFill="1" applyBorder="1">
      <alignment vertical="center"/>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0" fillId="11" borderId="43" xfId="0" applyFont="1" applyFill="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11" fillId="10" borderId="50" xfId="0" applyFont="1" applyFill="1" applyBorder="1" applyAlignment="1">
      <alignment horizontal="center" vertical="center"/>
    </xf>
    <xf numFmtId="0" fontId="11" fillId="10" borderId="0" xfId="0" applyFont="1" applyFill="1" applyBorder="1" applyAlignment="1">
      <alignment horizontal="center" vertical="center"/>
    </xf>
    <xf numFmtId="0" fontId="0" fillId="11" borderId="0" xfId="0" applyFont="1" applyFill="1" applyBorder="1" applyAlignment="1">
      <alignment horizontal="center" vertical="center"/>
    </xf>
    <xf numFmtId="0" fontId="0" fillId="11" borderId="44" xfId="0" applyFont="1" applyFill="1" applyBorder="1" applyAlignment="1">
      <alignment horizontal="center" vertical="center"/>
    </xf>
    <xf numFmtId="0" fontId="0" fillId="11" borderId="57" xfId="0" applyFont="1" applyFill="1" applyBorder="1" applyAlignment="1">
      <alignment horizontal="center" vertical="center"/>
    </xf>
    <xf numFmtId="0" fontId="0" fillId="11" borderId="51" xfId="0" applyFont="1" applyFill="1" applyBorder="1" applyAlignment="1">
      <alignment horizontal="center" vertical="center"/>
    </xf>
    <xf numFmtId="0" fontId="0" fillId="0" borderId="44" xfId="0" applyFont="1" applyBorder="1" applyAlignment="1">
      <alignment horizontal="center" vertical="center"/>
    </xf>
    <xf numFmtId="0" fontId="0" fillId="0" borderId="57" xfId="0" applyFont="1" applyBorder="1" applyAlignment="1">
      <alignment horizontal="center" vertical="center"/>
    </xf>
    <xf numFmtId="0" fontId="0" fillId="0" borderId="51" xfId="0" applyFont="1" applyBorder="1" applyAlignment="1">
      <alignment horizontal="center" vertical="center"/>
    </xf>
    <xf numFmtId="0" fontId="11" fillId="10" borderId="42" xfId="0" applyFont="1" applyFill="1" applyBorder="1" applyAlignment="1">
      <alignment horizontal="center" vertical="center"/>
    </xf>
    <xf numFmtId="0" fontId="12" fillId="11" borderId="42" xfId="0" applyFont="1" applyFill="1" applyBorder="1" applyAlignment="1">
      <alignment horizontal="center" vertical="center"/>
    </xf>
    <xf numFmtId="0" fontId="8" fillId="11" borderId="42" xfId="0" applyFont="1" applyFill="1" applyBorder="1" applyAlignment="1">
      <alignment horizontal="center" vertical="center"/>
    </xf>
    <xf numFmtId="0" fontId="8" fillId="0" borderId="42" xfId="0" applyFont="1" applyBorder="1" applyAlignment="1">
      <alignment horizontal="center" vertical="center"/>
    </xf>
    <xf numFmtId="0" fontId="12" fillId="11" borderId="45" xfId="0" applyFont="1" applyFill="1" applyBorder="1" applyAlignment="1">
      <alignment horizontal="center" vertical="center"/>
    </xf>
    <xf numFmtId="0" fontId="8" fillId="11" borderId="45" xfId="0" applyFont="1" applyFill="1" applyBorder="1" applyAlignment="1">
      <alignment horizontal="center" vertical="center"/>
    </xf>
    <xf numFmtId="0" fontId="0" fillId="11" borderId="45" xfId="0" applyFont="1" applyFill="1" applyBorder="1" applyAlignment="1">
      <alignment horizontal="center" vertical="center"/>
    </xf>
    <xf numFmtId="0" fontId="0" fillId="11" borderId="50" xfId="0" applyFont="1" applyFill="1" applyBorder="1" applyAlignment="1">
      <alignment horizontal="center" vertical="center"/>
    </xf>
    <xf numFmtId="0" fontId="0" fillId="11" borderId="54" xfId="0" applyFont="1" applyFill="1" applyBorder="1" applyAlignment="1">
      <alignment horizontal="center" vertical="center"/>
    </xf>
    <xf numFmtId="0" fontId="0" fillId="11" borderId="55" xfId="0" applyFont="1" applyFill="1" applyBorder="1" applyAlignment="1">
      <alignment horizontal="center" vertical="center"/>
    </xf>
    <xf numFmtId="0" fontId="14" fillId="12" borderId="53" xfId="0" applyFont="1" applyFill="1" applyBorder="1" applyAlignment="1">
      <alignment horizontal="center" vertical="center"/>
    </xf>
    <xf numFmtId="0" fontId="14" fillId="12" borderId="0" xfId="0" applyFont="1" applyFill="1" applyBorder="1" applyAlignment="1">
      <alignment horizontal="center" vertical="center"/>
    </xf>
    <xf numFmtId="0" fontId="0" fillId="11" borderId="56" xfId="0" applyFont="1" applyFill="1" applyBorder="1" applyAlignment="1">
      <alignment horizontal="center" vertical="center"/>
    </xf>
    <xf numFmtId="0" fontId="13" fillId="12" borderId="53" xfId="0" applyFont="1" applyFill="1" applyBorder="1" applyAlignment="1">
      <alignment horizontal="center" vertical="center"/>
    </xf>
    <xf numFmtId="0" fontId="13" fillId="12" borderId="0" xfId="0" applyFont="1" applyFill="1" applyBorder="1" applyAlignment="1">
      <alignment horizontal="center" vertical="center"/>
    </xf>
    <xf numFmtId="0" fontId="11" fillId="10" borderId="51" xfId="0" applyFont="1" applyFill="1" applyBorder="1" applyAlignment="1">
      <alignment horizontal="center" vertical="center"/>
    </xf>
    <xf numFmtId="0" fontId="0" fillId="11" borderId="0" xfId="0" applyFont="1" applyFill="1" applyBorder="1" applyAlignment="1">
      <alignment horizontal="center" vertical="center" wrapText="1"/>
    </xf>
    <xf numFmtId="176" fontId="5" fillId="18" borderId="0" xfId="1" applyNumberFormat="1" applyFont="1" applyFill="1" applyAlignment="1">
      <alignment horizontal="center" vertical="center"/>
    </xf>
    <xf numFmtId="181" fontId="5" fillId="0" borderId="0" xfId="5" applyNumberFormat="1" applyFont="1" applyAlignment="1">
      <alignment horizontal="center" vertical="center"/>
    </xf>
    <xf numFmtId="0" fontId="0" fillId="0" borderId="63" xfId="0" applyBorder="1">
      <alignment vertical="center"/>
    </xf>
    <xf numFmtId="38" fontId="5" fillId="5" borderId="0" xfId="5" applyFont="1" applyFill="1" applyAlignment="1">
      <alignment horizontal="center" vertical="center"/>
    </xf>
    <xf numFmtId="38" fontId="5" fillId="4" borderId="0" xfId="5" applyFont="1" applyFill="1" applyAlignment="1">
      <alignment horizontal="center" vertical="center"/>
    </xf>
    <xf numFmtId="38" fontId="5" fillId="4" borderId="16" xfId="5" applyFont="1" applyFill="1" applyBorder="1" applyAlignment="1">
      <alignment horizontal="center" vertical="center"/>
    </xf>
    <xf numFmtId="38" fontId="5" fillId="0" borderId="0" xfId="5" applyFont="1" applyAlignment="1">
      <alignment horizontal="center" vertical="center"/>
    </xf>
    <xf numFmtId="177" fontId="5" fillId="0" borderId="33" xfId="5" applyNumberFormat="1" applyFont="1" applyFill="1" applyBorder="1" applyAlignment="1">
      <alignment horizontal="center" vertical="center"/>
    </xf>
    <xf numFmtId="177" fontId="5" fillId="0" borderId="34" xfId="5" applyNumberFormat="1" applyFont="1" applyFill="1" applyBorder="1" applyAlignment="1">
      <alignment horizontal="center" vertical="center"/>
    </xf>
    <xf numFmtId="177" fontId="5" fillId="0" borderId="35" xfId="5" applyNumberFormat="1" applyFont="1" applyFill="1" applyBorder="1" applyAlignment="1">
      <alignment horizontal="center" vertical="center"/>
    </xf>
    <xf numFmtId="38" fontId="5" fillId="0" borderId="33" xfId="5" applyFont="1" applyFill="1" applyBorder="1" applyAlignment="1">
      <alignment horizontal="center" vertical="center"/>
    </xf>
    <xf numFmtId="38" fontId="5" fillId="0" borderId="34" xfId="5" applyFont="1" applyFill="1" applyBorder="1" applyAlignment="1">
      <alignment horizontal="center" vertical="center"/>
    </xf>
    <xf numFmtId="38" fontId="5" fillId="0" borderId="35" xfId="5" applyFont="1" applyFill="1" applyBorder="1" applyAlignment="1">
      <alignment horizontal="center" vertical="center"/>
    </xf>
    <xf numFmtId="38" fontId="19" fillId="16" borderId="32" xfId="5" applyFont="1" applyFill="1" applyBorder="1" applyAlignment="1">
      <alignment horizontal="left" vertical="center" wrapText="1"/>
    </xf>
    <xf numFmtId="38" fontId="19" fillId="16" borderId="37" xfId="5" applyFont="1" applyFill="1" applyBorder="1" applyAlignment="1">
      <alignment horizontal="left" vertical="center" wrapText="1"/>
    </xf>
    <xf numFmtId="38" fontId="19" fillId="16" borderId="31" xfId="5" applyFont="1" applyFill="1" applyBorder="1" applyAlignment="1">
      <alignment horizontal="left" vertical="center" wrapText="1"/>
    </xf>
    <xf numFmtId="177" fontId="5" fillId="0" borderId="33" xfId="5" applyNumberFormat="1" applyFont="1" applyBorder="1" applyAlignment="1">
      <alignment horizontal="center" vertical="center"/>
    </xf>
    <xf numFmtId="177" fontId="5" fillId="0" borderId="34" xfId="5" applyNumberFormat="1" applyFont="1" applyBorder="1" applyAlignment="1">
      <alignment horizontal="center" vertical="center"/>
    </xf>
    <xf numFmtId="177" fontId="5" fillId="0" borderId="35" xfId="5" applyNumberFormat="1" applyFont="1" applyBorder="1" applyAlignment="1">
      <alignment horizontal="center" vertical="center"/>
    </xf>
    <xf numFmtId="38" fontId="8" fillId="9" borderId="38" xfId="5" applyFont="1" applyFill="1" applyBorder="1" applyAlignment="1">
      <alignment horizontal="center" vertical="center"/>
    </xf>
    <xf numFmtId="38" fontId="8" fillId="9" borderId="39" xfId="5" applyFont="1" applyFill="1" applyBorder="1" applyAlignment="1">
      <alignment horizontal="center" vertical="center"/>
    </xf>
    <xf numFmtId="38" fontId="8" fillId="9" borderId="40" xfId="5" applyFont="1" applyFill="1" applyBorder="1" applyAlignment="1">
      <alignment horizontal="center" vertical="center"/>
    </xf>
    <xf numFmtId="184" fontId="5" fillId="5" borderId="0" xfId="5" applyNumberFormat="1" applyFont="1" applyFill="1" applyAlignment="1">
      <alignment horizontal="center" vertical="center"/>
    </xf>
  </cellXfs>
  <cellStyles count="8">
    <cellStyle name="パーセント" xfId="2" builtinId="5"/>
    <cellStyle name="パーセント 2" xfId="6" xr:uid="{00000000-0005-0000-0000-000001000000}"/>
    <cellStyle name="桁区切り" xfId="1" builtinId="6"/>
    <cellStyle name="桁区切り 2" xfId="5" xr:uid="{00000000-0005-0000-0000-000003000000}"/>
    <cellStyle name="出力" xfId="3" builtinId="21"/>
    <cellStyle name="出力 2" xfId="4" xr:uid="{00000000-0005-0000-0000-000005000000}"/>
    <cellStyle name="標準" xfId="0" builtinId="0"/>
    <cellStyle name="標準 2" xfId="7" xr:uid="{00000000-0005-0000-0000-000007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121920</xdr:colOff>
      <xdr:row>41</xdr:row>
      <xdr:rowOff>60960</xdr:rowOff>
    </xdr:from>
    <xdr:to>
      <xdr:col>6</xdr:col>
      <xdr:colOff>121920</xdr:colOff>
      <xdr:row>45</xdr:row>
      <xdr:rowOff>15240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5577840" y="7985760"/>
          <a:ext cx="0" cy="79248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807720</xdr:colOff>
      <xdr:row>41</xdr:row>
      <xdr:rowOff>167640</xdr:rowOff>
    </xdr:from>
    <xdr:to>
      <xdr:col>6</xdr:col>
      <xdr:colOff>45720</xdr:colOff>
      <xdr:row>41</xdr:row>
      <xdr:rowOff>175260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flipV="1">
          <a:off x="2697480" y="8092440"/>
          <a:ext cx="2804160" cy="76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xdr:colOff>
      <xdr:row>41</xdr:row>
      <xdr:rowOff>152400</xdr:rowOff>
    </xdr:from>
    <xdr:to>
      <xdr:col>2</xdr:col>
      <xdr:colOff>129540</xdr:colOff>
      <xdr:row>42</xdr:row>
      <xdr:rowOff>152400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a:off x="2011680" y="8077200"/>
          <a:ext cx="7620" cy="2133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106680</xdr:colOff>
      <xdr:row>40</xdr:row>
      <xdr:rowOff>121920</xdr:rowOff>
    </xdr:from>
    <xdr:to>
      <xdr:col>1</xdr:col>
      <xdr:colOff>30480</xdr:colOff>
      <xdr:row>43</xdr:row>
      <xdr:rowOff>129540</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106680" y="7833360"/>
          <a:ext cx="914400" cy="64008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5</a:t>
          </a:r>
          <a:r>
            <a:rPr kumimoji="1" lang="ja-JP" altLang="en-US" sz="1100"/>
            <a:t>点</a:t>
          </a:r>
        </a:p>
      </xdr:txBody>
    </xdr:sp>
    <xdr:clientData/>
  </xdr:twoCellAnchor>
  <xdr:twoCellAnchor>
    <xdr:from>
      <xdr:col>0</xdr:col>
      <xdr:colOff>114300</xdr:colOff>
      <xdr:row>33</xdr:row>
      <xdr:rowOff>152400</xdr:rowOff>
    </xdr:from>
    <xdr:to>
      <xdr:col>1</xdr:col>
      <xdr:colOff>38100</xdr:colOff>
      <xdr:row>36</xdr:row>
      <xdr:rowOff>175260</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114300" y="7246620"/>
          <a:ext cx="914400" cy="64008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2</a:t>
          </a:r>
          <a:r>
            <a:rPr kumimoji="1" lang="ja-JP" altLang="en-US" sz="1100"/>
            <a:t>点</a:t>
          </a:r>
        </a:p>
      </xdr:txBody>
    </xdr:sp>
    <xdr:clientData/>
  </xdr:twoCellAnchor>
  <xdr:twoCellAnchor>
    <xdr:from>
      <xdr:col>0</xdr:col>
      <xdr:colOff>0</xdr:colOff>
      <xdr:row>61</xdr:row>
      <xdr:rowOff>121920</xdr:rowOff>
    </xdr:from>
    <xdr:to>
      <xdr:col>0</xdr:col>
      <xdr:colOff>914400</xdr:colOff>
      <xdr:row>64</xdr:row>
      <xdr:rowOff>137160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0" y="13434060"/>
          <a:ext cx="914400" cy="64008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5</a:t>
          </a:r>
          <a:r>
            <a:rPr kumimoji="1" lang="ja-JP" altLang="en-US" sz="1100"/>
            <a:t>点</a:t>
          </a:r>
        </a:p>
      </xdr:txBody>
    </xdr:sp>
    <xdr:clientData/>
  </xdr:twoCellAnchor>
  <xdr:twoCellAnchor>
    <xdr:from>
      <xdr:col>6</xdr:col>
      <xdr:colOff>169545</xdr:colOff>
      <xdr:row>7</xdr:row>
      <xdr:rowOff>60960</xdr:rowOff>
    </xdr:from>
    <xdr:to>
      <xdr:col>7</xdr:col>
      <xdr:colOff>213360</xdr:colOff>
      <xdr:row>10</xdr:row>
      <xdr:rowOff>60960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5484495" y="2604135"/>
          <a:ext cx="891540" cy="6572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5</a:t>
          </a:r>
          <a:r>
            <a:rPr kumimoji="1" lang="ja-JP" altLang="en-US" sz="1100"/>
            <a:t>点</a:t>
          </a:r>
        </a:p>
      </xdr:txBody>
    </xdr:sp>
    <xdr:clientData/>
  </xdr:twoCellAnchor>
  <xdr:twoCellAnchor>
    <xdr:from>
      <xdr:col>7</xdr:col>
      <xdr:colOff>274320</xdr:colOff>
      <xdr:row>82</xdr:row>
      <xdr:rowOff>76200</xdr:rowOff>
    </xdr:from>
    <xdr:to>
      <xdr:col>11</xdr:col>
      <xdr:colOff>525780</xdr:colOff>
      <xdr:row>87</xdr:row>
      <xdr:rowOff>114300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598920" y="17724120"/>
          <a:ext cx="3817620" cy="1066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設問</a:t>
          </a:r>
          <a:r>
            <a:rPr kumimoji="1" lang="en-US" altLang="ja-JP" sz="1100"/>
            <a:t>3)</a:t>
          </a:r>
          <a:r>
            <a:rPr kumimoji="1" lang="ja-JP" altLang="en-US" sz="1100"/>
            <a:t>は</a:t>
          </a:r>
          <a:r>
            <a:rPr kumimoji="1" lang="en-US" altLang="ja-JP" sz="1100"/>
            <a:t>KEC</a:t>
          </a:r>
          <a:r>
            <a:rPr kumimoji="1" lang="ja-JP" altLang="en-US" sz="1100"/>
            <a:t>様模範解答に基づき、無理矢理エクセルにしました。</a:t>
          </a:r>
          <a:endParaRPr kumimoji="1" lang="en-US" altLang="ja-JP" sz="1100"/>
        </a:p>
        <a:p>
          <a:pPr algn="l"/>
          <a:r>
            <a:rPr kumimoji="1" lang="ja-JP" altLang="en-US" sz="1100"/>
            <a:t>正直これを見ても意味不明なので、現実的に正答できるかは別途検証して報告いたします。   </a:t>
          </a:r>
          <a:r>
            <a:rPr kumimoji="1" lang="en-US" altLang="ja-JP" sz="1100"/>
            <a:t>10/21 200%</a:t>
          </a:r>
          <a:r>
            <a:rPr kumimoji="1" lang="ja-JP" altLang="en-US" sz="1100"/>
            <a:t>スタイル</a:t>
          </a:r>
        </a:p>
      </xdr:txBody>
    </xdr:sp>
    <xdr:clientData/>
  </xdr:twoCellAnchor>
  <xdr:twoCellAnchor>
    <xdr:from>
      <xdr:col>0</xdr:col>
      <xdr:colOff>0</xdr:colOff>
      <xdr:row>70</xdr:row>
      <xdr:rowOff>198120</xdr:rowOff>
    </xdr:from>
    <xdr:to>
      <xdr:col>0</xdr:col>
      <xdr:colOff>914400</xdr:colOff>
      <xdr:row>74</xdr:row>
      <xdr:rowOff>17418</xdr:rowOff>
    </xdr:to>
    <xdr:sp macro="" textlink="">
      <xdr:nvSpPr>
        <xdr:cNvPr id="14" name="楕円 13">
          <a:extLst>
            <a:ext uri="{FF2B5EF4-FFF2-40B4-BE49-F238E27FC236}">
              <a16:creationId xmlns:a16="http://schemas.microsoft.com/office/drawing/2014/main" id="{54BEB60F-963A-48B7-90D6-2F9F28C4D0F4}"/>
            </a:ext>
          </a:extLst>
        </xdr:cNvPr>
        <xdr:cNvSpPr/>
      </xdr:nvSpPr>
      <xdr:spPr>
        <a:xfrm>
          <a:off x="0" y="14915606"/>
          <a:ext cx="914400" cy="6466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5</a:t>
          </a:r>
          <a:r>
            <a:rPr kumimoji="1" lang="ja-JP" altLang="en-US" sz="1100"/>
            <a:t>点</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6179820</xdr:colOff>
      <xdr:row>7</xdr:row>
      <xdr:rowOff>22860</xdr:rowOff>
    </xdr:to>
    <xdr:pic>
      <xdr:nvPicPr>
        <xdr:cNvPr id="2" name="図 1">
          <a:extLst>
            <a:ext uri="{FF2B5EF4-FFF2-40B4-BE49-F238E27FC236}">
              <a16:creationId xmlns:a16="http://schemas.microsoft.com/office/drawing/2014/main" id="{49110029-FBB9-487D-B4BB-EE3C82221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11480"/>
          <a:ext cx="7734300"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15239</xdr:colOff>
      <xdr:row>42</xdr:row>
      <xdr:rowOff>66058</xdr:rowOff>
    </xdr:from>
    <xdr:to>
      <xdr:col>14</xdr:col>
      <xdr:colOff>259080</xdr:colOff>
      <xdr:row>49</xdr:row>
      <xdr:rowOff>53339</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l="5981" t="58600" r="7787" b="20806"/>
        <a:stretch/>
      </xdr:blipFill>
      <xdr:spPr>
        <a:xfrm>
          <a:off x="7208519" y="8806198"/>
          <a:ext cx="5478781" cy="1427461"/>
        </a:xfrm>
        <a:prstGeom prst="rect">
          <a:avLst/>
        </a:prstGeom>
      </xdr:spPr>
    </xdr:pic>
    <xdr:clientData/>
  </xdr:twoCellAnchor>
  <xdr:twoCellAnchor editAs="oneCell">
    <xdr:from>
      <xdr:col>8</xdr:col>
      <xdr:colOff>22860</xdr:colOff>
      <xdr:row>27</xdr:row>
      <xdr:rowOff>15240</xdr:rowOff>
    </xdr:from>
    <xdr:to>
      <xdr:col>12</xdr:col>
      <xdr:colOff>752893</xdr:colOff>
      <xdr:row>36</xdr:row>
      <xdr:rowOff>184327</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l="12021" t="42404" r="13430" b="28130"/>
        <a:stretch/>
      </xdr:blipFill>
      <xdr:spPr>
        <a:xfrm>
          <a:off x="7216140" y="5669280"/>
          <a:ext cx="4326673" cy="2020747"/>
        </a:xfrm>
        <a:prstGeom prst="rect">
          <a:avLst/>
        </a:prstGeom>
        <a:ln>
          <a:solidFill>
            <a:schemeClr val="bg1">
              <a:lumMod val="75000"/>
            </a:schemeClr>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866775</xdr:colOff>
      <xdr:row>39</xdr:row>
      <xdr:rowOff>133351</xdr:rowOff>
    </xdr:from>
    <xdr:to>
      <xdr:col>4</xdr:col>
      <xdr:colOff>0</xdr:colOff>
      <xdr:row>88</xdr:row>
      <xdr:rowOff>28576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705100" y="6486526"/>
          <a:ext cx="885825" cy="7600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108857</xdr:colOff>
      <xdr:row>106</xdr:row>
      <xdr:rowOff>122464</xdr:rowOff>
    </xdr:from>
    <xdr:to>
      <xdr:col>10</xdr:col>
      <xdr:colOff>816429</xdr:colOff>
      <xdr:row>124</xdr:row>
      <xdr:rowOff>0</xdr:rowOff>
    </xdr:to>
    <xdr:sp macro="" textlink="">
      <xdr:nvSpPr>
        <xdr:cNvPr id="2" name="フリーフォーム: 図形 1">
          <a:extLst>
            <a:ext uri="{FF2B5EF4-FFF2-40B4-BE49-F238E27FC236}">
              <a16:creationId xmlns:a16="http://schemas.microsoft.com/office/drawing/2014/main" id="{00000000-0008-0000-0700-000002000000}"/>
            </a:ext>
          </a:extLst>
        </xdr:cNvPr>
        <xdr:cNvSpPr/>
      </xdr:nvSpPr>
      <xdr:spPr>
        <a:xfrm>
          <a:off x="8681357" y="21825857"/>
          <a:ext cx="707572" cy="3551464"/>
        </a:xfrm>
        <a:custGeom>
          <a:avLst/>
          <a:gdLst>
            <a:gd name="connsiteX0" fmla="*/ 0 w 707572"/>
            <a:gd name="connsiteY0" fmla="*/ 0 h 3551464"/>
            <a:gd name="connsiteX1" fmla="*/ 707572 w 707572"/>
            <a:gd name="connsiteY1" fmla="*/ 1646464 h 3551464"/>
            <a:gd name="connsiteX2" fmla="*/ 0 w 707572"/>
            <a:gd name="connsiteY2" fmla="*/ 3551464 h 3551464"/>
          </a:gdLst>
          <a:ahLst/>
          <a:cxnLst>
            <a:cxn ang="0">
              <a:pos x="connsiteX0" y="connsiteY0"/>
            </a:cxn>
            <a:cxn ang="0">
              <a:pos x="connsiteX1" y="connsiteY1"/>
            </a:cxn>
            <a:cxn ang="0">
              <a:pos x="connsiteX2" y="connsiteY2"/>
            </a:cxn>
          </a:cxnLst>
          <a:rect l="l" t="t" r="r" b="b"/>
          <a:pathLst>
            <a:path w="707572" h="3551464">
              <a:moveTo>
                <a:pt x="0" y="0"/>
              </a:moveTo>
              <a:cubicBezTo>
                <a:pt x="353786" y="527276"/>
                <a:pt x="707572" y="1054553"/>
                <a:pt x="707572" y="1646464"/>
              </a:cubicBezTo>
              <a:cubicBezTo>
                <a:pt x="707572" y="2238375"/>
                <a:pt x="353786" y="2894919"/>
                <a:pt x="0" y="3551464"/>
              </a:cubicBezTo>
            </a:path>
          </a:pathLst>
        </a:custGeom>
        <a:noFill/>
        <a:ln>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8"/>
  <sheetViews>
    <sheetView topLeftCell="B1" zoomScale="90" zoomScaleNormal="90" workbookViewId="0">
      <selection activeCell="I13" sqref="I13"/>
    </sheetView>
  </sheetViews>
  <sheetFormatPr defaultRowHeight="16.2"/>
  <cols>
    <col min="2" max="2" width="13.33203125" customWidth="1"/>
    <col min="3" max="3" width="19.33203125" customWidth="1"/>
    <col min="4" max="7" width="7.5546875" customWidth="1"/>
    <col min="8" max="8" width="7.5546875" style="225" customWidth="1"/>
    <col min="9" max="9" width="7.5546875" customWidth="1"/>
    <col min="10" max="10" width="7.5546875" style="225" customWidth="1"/>
    <col min="11" max="11" width="7.5546875" customWidth="1"/>
    <col min="12" max="12" width="8.88671875" customWidth="1"/>
    <col min="13" max="19" width="7.5546875" customWidth="1"/>
  </cols>
  <sheetData>
    <row r="1" spans="1:26">
      <c r="A1" t="s">
        <v>292</v>
      </c>
    </row>
    <row r="3" spans="1:26">
      <c r="B3" s="149"/>
      <c r="C3" s="150"/>
      <c r="D3" s="412" t="s">
        <v>440</v>
      </c>
      <c r="E3" s="412"/>
      <c r="F3" s="412"/>
      <c r="G3" s="412"/>
      <c r="H3" s="226"/>
      <c r="I3" s="226"/>
      <c r="J3" s="404" t="s">
        <v>474</v>
      </c>
      <c r="K3" s="404"/>
      <c r="L3" s="404"/>
      <c r="M3" s="404"/>
      <c r="N3" s="226"/>
      <c r="O3" s="403" t="s">
        <v>473</v>
      </c>
      <c r="P3" s="403"/>
      <c r="Q3" s="403"/>
      <c r="R3" s="403"/>
      <c r="S3" s="403"/>
      <c r="T3" s="403"/>
      <c r="U3" s="403"/>
      <c r="V3" s="403"/>
      <c r="W3" s="403"/>
      <c r="X3" s="403"/>
      <c r="Y3" s="403"/>
      <c r="Z3" s="403"/>
    </row>
    <row r="4" spans="1:26">
      <c r="B4" s="151"/>
      <c r="C4" s="152"/>
      <c r="D4" s="413" t="s">
        <v>309</v>
      </c>
      <c r="E4" s="414"/>
      <c r="F4" s="414"/>
      <c r="G4" s="153" t="s">
        <v>308</v>
      </c>
      <c r="H4" s="204"/>
      <c r="I4" s="204"/>
      <c r="J4" s="147" t="s">
        <v>314</v>
      </c>
      <c r="K4" s="405" t="s">
        <v>695</v>
      </c>
      <c r="L4" s="405"/>
      <c r="M4" s="405"/>
      <c r="N4" s="204"/>
      <c r="O4" s="147" t="s">
        <v>314</v>
      </c>
      <c r="P4" s="398" t="s">
        <v>313</v>
      </c>
      <c r="Q4" s="398"/>
      <c r="R4" s="398" t="s">
        <v>311</v>
      </c>
      <c r="S4" s="398"/>
      <c r="T4" s="398"/>
      <c r="U4" s="154" t="s">
        <v>310</v>
      </c>
      <c r="V4" s="397" t="s">
        <v>550</v>
      </c>
      <c r="W4" s="399"/>
      <c r="X4" s="397" t="s">
        <v>705</v>
      </c>
      <c r="Y4" s="398"/>
      <c r="Z4" s="399"/>
    </row>
    <row r="5" spans="1:26">
      <c r="B5" s="155"/>
      <c r="C5" s="156"/>
      <c r="D5" s="415" t="s">
        <v>100</v>
      </c>
      <c r="E5" s="415"/>
      <c r="F5" s="415"/>
      <c r="G5" s="157" t="s">
        <v>100</v>
      </c>
      <c r="H5" s="204"/>
      <c r="I5" s="204"/>
      <c r="J5" s="157" t="s">
        <v>312</v>
      </c>
      <c r="K5" s="401" t="s">
        <v>100</v>
      </c>
      <c r="L5" s="401"/>
      <c r="M5" s="401"/>
      <c r="N5" s="204"/>
      <c r="O5" s="157" t="s">
        <v>332</v>
      </c>
      <c r="P5" s="401" t="s">
        <v>100</v>
      </c>
      <c r="Q5" s="401"/>
      <c r="R5" s="401" t="s">
        <v>312</v>
      </c>
      <c r="S5" s="401"/>
      <c r="T5" s="401"/>
      <c r="U5" s="158" t="s">
        <v>100</v>
      </c>
      <c r="V5" s="400" t="s">
        <v>312</v>
      </c>
      <c r="W5" s="402"/>
      <c r="X5" s="400" t="s">
        <v>312</v>
      </c>
      <c r="Y5" s="401"/>
      <c r="Z5" s="402"/>
    </row>
    <row r="6" spans="1:26">
      <c r="B6" s="151"/>
      <c r="C6" s="152"/>
      <c r="D6" s="176" t="s">
        <v>117</v>
      </c>
      <c r="E6" s="176" t="s">
        <v>118</v>
      </c>
      <c r="F6" s="176" t="s">
        <v>180</v>
      </c>
      <c r="G6" s="153" t="s">
        <v>117</v>
      </c>
      <c r="H6" s="204"/>
      <c r="I6" s="204"/>
      <c r="J6" s="270" t="s">
        <v>117</v>
      </c>
      <c r="K6" s="270" t="s">
        <v>117</v>
      </c>
      <c r="L6" s="270" t="s">
        <v>118</v>
      </c>
      <c r="M6" s="270" t="s">
        <v>180</v>
      </c>
      <c r="N6" s="204"/>
      <c r="O6" s="153" t="s">
        <v>333</v>
      </c>
      <c r="P6" s="153" t="s">
        <v>117</v>
      </c>
      <c r="Q6" s="153" t="s">
        <v>118</v>
      </c>
      <c r="R6" s="153" t="s">
        <v>117</v>
      </c>
      <c r="S6" s="153" t="s">
        <v>118</v>
      </c>
      <c r="T6" s="153" t="s">
        <v>453</v>
      </c>
      <c r="U6" s="154" t="s">
        <v>118</v>
      </c>
      <c r="V6" s="184" t="s">
        <v>118</v>
      </c>
      <c r="W6" s="184" t="s">
        <v>180</v>
      </c>
      <c r="X6" s="184" t="s">
        <v>706</v>
      </c>
      <c r="Y6" s="184" t="s">
        <v>118</v>
      </c>
      <c r="Z6" s="184" t="s">
        <v>180</v>
      </c>
    </row>
    <row r="7" spans="1:26">
      <c r="B7" s="155"/>
      <c r="C7" s="156" t="s">
        <v>334</v>
      </c>
      <c r="D7" s="177" t="s">
        <v>328</v>
      </c>
      <c r="E7" s="177" t="s">
        <v>326</v>
      </c>
      <c r="F7" s="177" t="s">
        <v>431</v>
      </c>
      <c r="G7" s="157" t="s">
        <v>414</v>
      </c>
      <c r="H7" s="204"/>
      <c r="I7" s="204"/>
      <c r="J7" s="157" t="s">
        <v>328</v>
      </c>
      <c r="K7" s="157" t="s">
        <v>326</v>
      </c>
      <c r="L7" s="157" t="s">
        <v>328</v>
      </c>
      <c r="M7" s="157" t="s">
        <v>329</v>
      </c>
      <c r="N7" s="204"/>
      <c r="O7" s="157" t="s">
        <v>430</v>
      </c>
      <c r="P7" s="157" t="s">
        <v>328</v>
      </c>
      <c r="Q7" s="157" t="s">
        <v>329</v>
      </c>
      <c r="R7" s="157" t="s">
        <v>330</v>
      </c>
      <c r="S7" s="157" t="s">
        <v>331</v>
      </c>
      <c r="T7" s="157" t="s">
        <v>455</v>
      </c>
      <c r="U7" s="158" t="s">
        <v>428</v>
      </c>
      <c r="V7" s="158" t="s">
        <v>328</v>
      </c>
      <c r="W7" s="158" t="s">
        <v>329</v>
      </c>
      <c r="X7" s="158" t="s">
        <v>781</v>
      </c>
      <c r="Y7" s="158" t="s">
        <v>787</v>
      </c>
      <c r="Z7" s="158" t="s">
        <v>792</v>
      </c>
    </row>
    <row r="8" spans="1:26" ht="16.2" customHeight="1">
      <c r="B8" s="406"/>
      <c r="C8" s="418" t="s">
        <v>316</v>
      </c>
      <c r="D8" s="416" t="s">
        <v>438</v>
      </c>
      <c r="E8" s="417"/>
      <c r="F8" s="417"/>
      <c r="G8" s="417"/>
      <c r="H8" s="204"/>
      <c r="I8" s="204"/>
      <c r="J8" s="428" t="s">
        <v>696</v>
      </c>
      <c r="K8" s="428"/>
      <c r="L8" s="428"/>
      <c r="M8" s="428"/>
      <c r="N8" s="204"/>
      <c r="O8" s="405" t="s">
        <v>439</v>
      </c>
      <c r="P8" s="405"/>
      <c r="Q8" s="405"/>
      <c r="R8" s="405"/>
      <c r="S8" s="405"/>
      <c r="T8" s="405"/>
      <c r="U8" s="405"/>
      <c r="V8" s="405"/>
      <c r="W8" s="405"/>
      <c r="X8" s="405"/>
      <c r="Y8" s="405"/>
      <c r="Z8" s="405"/>
    </row>
    <row r="9" spans="1:26">
      <c r="B9" s="408"/>
      <c r="C9" s="419"/>
      <c r="D9" s="425" t="s">
        <v>475</v>
      </c>
      <c r="E9" s="426"/>
      <c r="F9" s="426"/>
      <c r="G9" s="426"/>
      <c r="H9" s="426"/>
      <c r="I9" s="426"/>
      <c r="J9" s="426"/>
      <c r="K9" s="426"/>
      <c r="L9" s="426"/>
      <c r="M9" s="426"/>
      <c r="N9" s="204"/>
      <c r="O9" s="422" t="s">
        <v>476</v>
      </c>
      <c r="P9" s="423"/>
      <c r="Q9" s="423"/>
      <c r="R9" s="423"/>
      <c r="S9" s="423"/>
      <c r="T9" s="423"/>
      <c r="U9" s="423"/>
      <c r="V9" s="423"/>
      <c r="W9" s="423"/>
      <c r="X9" s="423"/>
      <c r="Y9" s="423"/>
      <c r="Z9" s="423"/>
    </row>
    <row r="10" spans="1:26" ht="32.4">
      <c r="B10" s="159" t="s">
        <v>321</v>
      </c>
      <c r="C10" s="156" t="s">
        <v>317</v>
      </c>
      <c r="D10" s="180" t="s">
        <v>307</v>
      </c>
      <c r="E10" s="179" t="s">
        <v>293</v>
      </c>
      <c r="F10" s="179" t="s">
        <v>293</v>
      </c>
      <c r="G10" s="180" t="s">
        <v>307</v>
      </c>
      <c r="H10" s="204"/>
      <c r="I10" s="204"/>
      <c r="J10" s="174"/>
      <c r="K10" s="174"/>
      <c r="L10" s="174"/>
      <c r="M10" s="174"/>
      <c r="N10" s="204"/>
      <c r="O10" s="181"/>
      <c r="P10" s="174"/>
      <c r="Q10" s="174"/>
      <c r="R10" s="174"/>
      <c r="S10" s="174"/>
      <c r="T10" s="174"/>
      <c r="U10" s="174"/>
      <c r="V10" s="174"/>
      <c r="W10" s="174"/>
      <c r="X10" s="174"/>
      <c r="Y10" s="174"/>
      <c r="Z10" s="174"/>
    </row>
    <row r="11" spans="1:26" ht="32.4">
      <c r="B11" s="162" t="s">
        <v>322</v>
      </c>
      <c r="C11" s="152" t="s">
        <v>318</v>
      </c>
      <c r="D11" s="161"/>
      <c r="E11" s="161"/>
      <c r="F11" s="161"/>
      <c r="G11" s="161"/>
      <c r="H11" s="204"/>
      <c r="I11" s="204"/>
      <c r="J11" s="178" t="s">
        <v>448</v>
      </c>
      <c r="K11" s="178" t="s">
        <v>262</v>
      </c>
      <c r="L11" s="178" t="s">
        <v>699</v>
      </c>
      <c r="M11" s="178" t="s">
        <v>699</v>
      </c>
      <c r="N11" s="204"/>
      <c r="O11" s="163" t="s">
        <v>293</v>
      </c>
      <c r="P11" s="143" t="s">
        <v>307</v>
      </c>
      <c r="Q11" s="164" t="s">
        <v>297</v>
      </c>
      <c r="R11" s="143" t="s">
        <v>303</v>
      </c>
      <c r="S11" s="164" t="s">
        <v>335</v>
      </c>
      <c r="T11" s="165" t="s">
        <v>456</v>
      </c>
      <c r="U11" s="144" t="s">
        <v>315</v>
      </c>
      <c r="V11" s="205" t="s">
        <v>545</v>
      </c>
      <c r="W11" s="205" t="s">
        <v>548</v>
      </c>
      <c r="X11" s="288" t="s">
        <v>790</v>
      </c>
      <c r="Y11" s="292"/>
      <c r="Z11" s="288"/>
    </row>
    <row r="12" spans="1:26">
      <c r="B12" s="159"/>
      <c r="C12" s="156" t="s">
        <v>441</v>
      </c>
      <c r="D12" s="174"/>
      <c r="E12" s="174"/>
      <c r="F12" s="174"/>
      <c r="G12" s="174"/>
      <c r="H12" s="204"/>
      <c r="I12" s="204"/>
      <c r="J12" s="157" t="s">
        <v>262</v>
      </c>
      <c r="K12" s="157" t="s">
        <v>262</v>
      </c>
      <c r="L12" s="157" t="s">
        <v>262</v>
      </c>
      <c r="M12" s="157" t="s">
        <v>262</v>
      </c>
      <c r="N12" s="204"/>
      <c r="O12" s="166" t="s">
        <v>442</v>
      </c>
      <c r="P12" s="166" t="s">
        <v>443</v>
      </c>
      <c r="Q12" s="157" t="s">
        <v>444</v>
      </c>
      <c r="R12" s="166" t="s">
        <v>452</v>
      </c>
      <c r="S12" s="157" t="s">
        <v>442</v>
      </c>
      <c r="T12" s="166" t="s">
        <v>432</v>
      </c>
      <c r="U12" s="167" t="s">
        <v>293</v>
      </c>
      <c r="V12" s="204" t="s">
        <v>546</v>
      </c>
      <c r="W12" s="204" t="s">
        <v>549</v>
      </c>
      <c r="X12" s="204"/>
      <c r="Y12" s="204"/>
      <c r="Z12" s="204" t="s">
        <v>790</v>
      </c>
    </row>
    <row r="13" spans="1:26" ht="64.8">
      <c r="B13" s="162" t="s">
        <v>298</v>
      </c>
      <c r="C13" s="168" t="s">
        <v>319</v>
      </c>
      <c r="D13" s="174"/>
      <c r="E13" s="174"/>
      <c r="F13" s="174"/>
      <c r="G13" s="174"/>
      <c r="H13" s="204"/>
      <c r="I13" s="204"/>
      <c r="J13" s="270" t="s">
        <v>262</v>
      </c>
      <c r="K13" s="270" t="s">
        <v>262</v>
      </c>
      <c r="L13" s="270" t="s">
        <v>262</v>
      </c>
      <c r="M13" s="178" t="s">
        <v>701</v>
      </c>
      <c r="N13" s="204"/>
      <c r="O13" s="165" t="s">
        <v>293</v>
      </c>
      <c r="P13" s="165" t="s">
        <v>434</v>
      </c>
      <c r="Q13" s="153" t="s">
        <v>293</v>
      </c>
      <c r="R13" s="165" t="s">
        <v>443</v>
      </c>
      <c r="S13" s="153" t="s">
        <v>293</v>
      </c>
      <c r="T13" s="165" t="s">
        <v>457</v>
      </c>
      <c r="U13" s="169" t="s">
        <v>320</v>
      </c>
      <c r="V13" s="205" t="s">
        <v>544</v>
      </c>
      <c r="W13" s="205" t="s">
        <v>545</v>
      </c>
      <c r="X13" s="288"/>
      <c r="Y13" s="292" t="s">
        <v>790</v>
      </c>
      <c r="Z13" s="288"/>
    </row>
    <row r="14" spans="1:26">
      <c r="B14" s="155" t="s">
        <v>296</v>
      </c>
      <c r="C14" s="170" t="s">
        <v>445</v>
      </c>
      <c r="D14" s="174"/>
      <c r="E14" s="174"/>
      <c r="F14" s="174"/>
      <c r="G14" s="174"/>
      <c r="H14" s="204"/>
      <c r="I14" s="204"/>
      <c r="J14" s="269" t="s">
        <v>262</v>
      </c>
      <c r="K14" s="269" t="s">
        <v>262</v>
      </c>
      <c r="L14" s="269" t="s">
        <v>262</v>
      </c>
      <c r="M14" s="269" t="s">
        <v>262</v>
      </c>
      <c r="N14" s="204"/>
      <c r="O14" s="171" t="s">
        <v>303</v>
      </c>
      <c r="P14" s="166" t="s">
        <v>434</v>
      </c>
      <c r="Q14" s="160" t="s">
        <v>307</v>
      </c>
      <c r="R14" s="166" t="s">
        <v>435</v>
      </c>
      <c r="S14" s="160" t="s">
        <v>303</v>
      </c>
      <c r="T14" s="166" t="s">
        <v>435</v>
      </c>
      <c r="U14" s="167" t="s">
        <v>293</v>
      </c>
      <c r="V14" s="204" t="s">
        <v>544</v>
      </c>
      <c r="W14" s="204" t="s">
        <v>545</v>
      </c>
      <c r="X14" s="204"/>
      <c r="Y14" s="204" t="s">
        <v>790</v>
      </c>
      <c r="Z14" s="204"/>
    </row>
    <row r="15" spans="1:26">
      <c r="B15" s="162" t="s">
        <v>447</v>
      </c>
      <c r="C15" s="168" t="s">
        <v>446</v>
      </c>
      <c r="D15" s="175"/>
      <c r="E15" s="175"/>
      <c r="F15" s="175"/>
      <c r="G15" s="175"/>
      <c r="H15" s="204"/>
      <c r="I15" s="204"/>
      <c r="J15" s="160" t="s">
        <v>303</v>
      </c>
      <c r="K15" s="276" t="s">
        <v>262</v>
      </c>
      <c r="L15" s="276" t="s">
        <v>262</v>
      </c>
      <c r="M15" s="160" t="s">
        <v>303</v>
      </c>
      <c r="N15" s="204"/>
      <c r="O15" s="164" t="s">
        <v>435</v>
      </c>
      <c r="P15" s="164" t="s">
        <v>435</v>
      </c>
      <c r="Q15" s="164" t="s">
        <v>435</v>
      </c>
      <c r="R15" s="164" t="s">
        <v>435</v>
      </c>
      <c r="S15" s="164" t="s">
        <v>435</v>
      </c>
      <c r="T15" s="153" t="s">
        <v>435</v>
      </c>
      <c r="U15" s="172" t="s">
        <v>435</v>
      </c>
      <c r="V15" s="205" t="s">
        <v>544</v>
      </c>
      <c r="W15" s="205" t="s">
        <v>544</v>
      </c>
      <c r="X15" s="288"/>
      <c r="Y15" s="292"/>
      <c r="Z15" s="288"/>
    </row>
    <row r="16" spans="1:26" ht="32.4">
      <c r="B16" s="159" t="s">
        <v>302</v>
      </c>
      <c r="C16" s="156"/>
      <c r="D16" s="173" t="s">
        <v>306</v>
      </c>
      <c r="E16" s="157"/>
      <c r="F16" s="160" t="s">
        <v>305</v>
      </c>
      <c r="G16" s="157"/>
      <c r="H16" s="204"/>
      <c r="I16" s="204"/>
      <c r="J16" s="173" t="s">
        <v>697</v>
      </c>
      <c r="K16" s="173" t="s">
        <v>697</v>
      </c>
      <c r="L16" s="157"/>
      <c r="M16" s="157" t="s">
        <v>702</v>
      </c>
      <c r="N16" s="204"/>
      <c r="O16" s="156"/>
      <c r="P16" s="157"/>
      <c r="Q16" s="157"/>
      <c r="R16" s="156"/>
      <c r="S16" s="157"/>
      <c r="T16" s="173" t="s">
        <v>454</v>
      </c>
      <c r="U16" s="308"/>
      <c r="V16" s="310"/>
      <c r="W16" s="309" t="s">
        <v>454</v>
      </c>
      <c r="X16" s="310"/>
      <c r="Y16" s="310" t="s">
        <v>793</v>
      </c>
      <c r="Z16" s="204"/>
    </row>
    <row r="17" spans="1:26">
      <c r="A17" s="118"/>
      <c r="B17" s="151"/>
      <c r="C17" s="152"/>
      <c r="D17" s="153"/>
      <c r="E17" s="153"/>
      <c r="F17" s="153"/>
      <c r="G17" s="153"/>
      <c r="H17" s="204"/>
      <c r="I17" s="204"/>
      <c r="J17" s="270"/>
      <c r="K17" s="270" t="s">
        <v>700</v>
      </c>
      <c r="L17" s="270"/>
      <c r="M17" s="270"/>
      <c r="N17" s="204"/>
      <c r="O17" s="152"/>
      <c r="P17" s="153"/>
      <c r="Q17" s="153"/>
      <c r="R17" s="153"/>
      <c r="S17" s="153"/>
      <c r="T17" s="153"/>
      <c r="U17" s="182"/>
      <c r="V17" s="182"/>
      <c r="W17" s="182"/>
      <c r="X17" s="290"/>
      <c r="Y17" s="293"/>
      <c r="Z17" s="290"/>
    </row>
    <row r="18" spans="1:26">
      <c r="A18" s="118"/>
      <c r="B18" s="159" t="s">
        <v>325</v>
      </c>
      <c r="C18" s="170" t="s">
        <v>324</v>
      </c>
      <c r="D18" s="157" t="s">
        <v>300</v>
      </c>
      <c r="E18" s="157"/>
      <c r="F18" s="157" t="s">
        <v>300</v>
      </c>
      <c r="G18" s="157" t="s">
        <v>299</v>
      </c>
      <c r="H18" s="204"/>
      <c r="I18" s="204"/>
      <c r="J18" s="157" t="s">
        <v>293</v>
      </c>
      <c r="K18" s="157" t="s">
        <v>262</v>
      </c>
      <c r="L18" s="157" t="s">
        <v>262</v>
      </c>
      <c r="M18" s="157" t="s">
        <v>262</v>
      </c>
      <c r="N18" s="204"/>
      <c r="O18" s="157" t="s">
        <v>432</v>
      </c>
      <c r="P18" s="157" t="s">
        <v>299</v>
      </c>
      <c r="Q18" s="157" t="s">
        <v>293</v>
      </c>
      <c r="R18" s="157" t="s">
        <v>293</v>
      </c>
      <c r="S18" s="157" t="s">
        <v>301</v>
      </c>
      <c r="T18" s="157" t="s">
        <v>456</v>
      </c>
      <c r="U18" s="157" t="s">
        <v>293</v>
      </c>
      <c r="V18" s="157" t="s">
        <v>293</v>
      </c>
      <c r="W18" s="157" t="s">
        <v>293</v>
      </c>
      <c r="X18" s="160" t="s">
        <v>790</v>
      </c>
      <c r="Y18" s="157" t="s">
        <v>790</v>
      </c>
      <c r="Z18" s="157" t="s">
        <v>293</v>
      </c>
    </row>
    <row r="19" spans="1:26">
      <c r="B19" s="151"/>
      <c r="C19" s="152" t="s">
        <v>323</v>
      </c>
      <c r="D19" s="153" t="s">
        <v>297</v>
      </c>
      <c r="E19" s="160" t="s">
        <v>304</v>
      </c>
      <c r="F19" s="153" t="s">
        <v>297</v>
      </c>
      <c r="G19" s="153" t="s">
        <v>435</v>
      </c>
      <c r="H19" s="204"/>
      <c r="I19" s="204"/>
      <c r="J19" s="270" t="s">
        <v>293</v>
      </c>
      <c r="K19" s="270" t="s">
        <v>698</v>
      </c>
      <c r="L19" s="270" t="s">
        <v>699</v>
      </c>
      <c r="M19" s="270" t="s">
        <v>698</v>
      </c>
      <c r="N19" s="204"/>
      <c r="O19" s="153" t="s">
        <v>433</v>
      </c>
      <c r="P19" s="153" t="s">
        <v>450</v>
      </c>
      <c r="Q19" s="153" t="s">
        <v>442</v>
      </c>
      <c r="R19" s="153" t="s">
        <v>300</v>
      </c>
      <c r="S19" s="153" t="s">
        <v>293</v>
      </c>
      <c r="T19" s="153" t="s">
        <v>456</v>
      </c>
      <c r="U19" s="182" t="s">
        <v>262</v>
      </c>
      <c r="V19" s="182" t="s">
        <v>293</v>
      </c>
      <c r="W19" s="182" t="s">
        <v>293</v>
      </c>
      <c r="X19" s="290" t="s">
        <v>790</v>
      </c>
      <c r="Y19" s="293" t="s">
        <v>790</v>
      </c>
      <c r="Z19" s="290" t="s">
        <v>790</v>
      </c>
    </row>
    <row r="20" spans="1:26">
      <c r="B20" s="155"/>
      <c r="C20" s="156" t="s">
        <v>551</v>
      </c>
      <c r="D20" s="157"/>
      <c r="E20" s="157"/>
      <c r="F20" s="157"/>
      <c r="G20" s="157"/>
      <c r="H20" s="204"/>
      <c r="I20" s="204"/>
      <c r="J20" s="157"/>
      <c r="K20" s="157" t="s">
        <v>698</v>
      </c>
      <c r="L20" s="157" t="s">
        <v>698</v>
      </c>
      <c r="M20" s="157" t="s">
        <v>698</v>
      </c>
      <c r="N20" s="204"/>
      <c r="O20" s="157" t="s">
        <v>262</v>
      </c>
      <c r="P20" s="157" t="s">
        <v>262</v>
      </c>
      <c r="Q20" s="157" t="s">
        <v>262</v>
      </c>
      <c r="R20" s="157" t="s">
        <v>262</v>
      </c>
      <c r="S20" s="157" t="s">
        <v>262</v>
      </c>
      <c r="T20" s="157" t="s">
        <v>262</v>
      </c>
      <c r="U20" s="157" t="s">
        <v>262</v>
      </c>
      <c r="V20" s="157" t="s">
        <v>293</v>
      </c>
      <c r="W20" s="157" t="s">
        <v>293</v>
      </c>
      <c r="X20" s="157" t="s">
        <v>794</v>
      </c>
      <c r="Y20" s="157" t="s">
        <v>698</v>
      </c>
      <c r="Z20" s="157" t="s">
        <v>698</v>
      </c>
    </row>
    <row r="21" spans="1:26">
      <c r="B21" s="151"/>
      <c r="C21" s="152" t="s">
        <v>294</v>
      </c>
      <c r="D21" s="182" t="s">
        <v>293</v>
      </c>
      <c r="E21" s="182"/>
      <c r="F21" s="182" t="s">
        <v>293</v>
      </c>
      <c r="G21" s="182" t="s">
        <v>262</v>
      </c>
      <c r="H21" s="204"/>
      <c r="I21" s="204"/>
      <c r="J21" s="270" t="s">
        <v>262</v>
      </c>
      <c r="K21" s="270" t="s">
        <v>698</v>
      </c>
      <c r="L21" s="270" t="s">
        <v>698</v>
      </c>
      <c r="M21" s="270" t="s">
        <v>698</v>
      </c>
      <c r="N21" s="204"/>
      <c r="O21" s="182" t="s">
        <v>262</v>
      </c>
      <c r="P21" s="182" t="s">
        <v>262</v>
      </c>
      <c r="Q21" s="182" t="s">
        <v>262</v>
      </c>
      <c r="R21" s="182" t="s">
        <v>293</v>
      </c>
      <c r="S21" s="182" t="s">
        <v>293</v>
      </c>
      <c r="T21" s="182" t="s">
        <v>293</v>
      </c>
      <c r="U21" s="182" t="s">
        <v>293</v>
      </c>
      <c r="V21" s="182" t="s">
        <v>293</v>
      </c>
      <c r="W21" s="182" t="s">
        <v>293</v>
      </c>
      <c r="X21" s="290" t="s">
        <v>698</v>
      </c>
      <c r="Y21" s="293" t="s">
        <v>698</v>
      </c>
      <c r="Z21" s="290" t="s">
        <v>698</v>
      </c>
    </row>
    <row r="22" spans="1:26">
      <c r="B22" s="155"/>
      <c r="C22" s="156" t="s">
        <v>162</v>
      </c>
      <c r="D22" s="160" t="s">
        <v>293</v>
      </c>
      <c r="E22" s="157"/>
      <c r="F22" s="157" t="s">
        <v>293</v>
      </c>
      <c r="G22" s="157" t="s">
        <v>293</v>
      </c>
      <c r="H22" s="204"/>
      <c r="I22" s="204"/>
      <c r="J22" s="157" t="s">
        <v>262</v>
      </c>
      <c r="K22" s="157" t="s">
        <v>698</v>
      </c>
      <c r="L22" s="157" t="s">
        <v>698</v>
      </c>
      <c r="M22" s="157" t="s">
        <v>698</v>
      </c>
      <c r="N22" s="204"/>
      <c r="O22" s="157" t="s">
        <v>262</v>
      </c>
      <c r="P22" s="157" t="s">
        <v>262</v>
      </c>
      <c r="Q22" s="157" t="s">
        <v>262</v>
      </c>
      <c r="R22" s="157" t="s">
        <v>293</v>
      </c>
      <c r="S22" s="157" t="s">
        <v>293</v>
      </c>
      <c r="T22" s="157" t="s">
        <v>293</v>
      </c>
      <c r="U22" s="157" t="s">
        <v>262</v>
      </c>
      <c r="V22" s="157" t="s">
        <v>262</v>
      </c>
      <c r="W22" s="157" t="s">
        <v>262</v>
      </c>
      <c r="X22" s="157" t="s">
        <v>698</v>
      </c>
      <c r="Y22" s="157" t="s">
        <v>698</v>
      </c>
      <c r="Z22" s="157" t="s">
        <v>698</v>
      </c>
    </row>
    <row r="23" spans="1:26">
      <c r="B23" s="145"/>
      <c r="C23" s="146" t="s">
        <v>295</v>
      </c>
      <c r="D23" s="183" t="s">
        <v>327</v>
      </c>
      <c r="E23" s="183"/>
      <c r="F23" s="183" t="s">
        <v>262</v>
      </c>
      <c r="G23" s="183" t="s">
        <v>262</v>
      </c>
      <c r="H23" s="204"/>
      <c r="I23" s="204"/>
      <c r="J23" s="268" t="s">
        <v>262</v>
      </c>
      <c r="K23" s="268" t="s">
        <v>698</v>
      </c>
      <c r="L23" s="268" t="s">
        <v>698</v>
      </c>
      <c r="M23" s="268" t="s">
        <v>698</v>
      </c>
      <c r="N23" s="204"/>
      <c r="O23" s="148" t="s">
        <v>262</v>
      </c>
      <c r="P23" s="183" t="s">
        <v>262</v>
      </c>
      <c r="Q23" s="183" t="s">
        <v>262</v>
      </c>
      <c r="R23" s="183" t="s">
        <v>262</v>
      </c>
      <c r="S23" s="183" t="s">
        <v>262</v>
      </c>
      <c r="T23" s="183" t="s">
        <v>262</v>
      </c>
      <c r="U23" s="183" t="s">
        <v>262</v>
      </c>
      <c r="V23" s="183" t="s">
        <v>262</v>
      </c>
      <c r="W23" s="183" t="s">
        <v>262</v>
      </c>
      <c r="X23" s="289" t="s">
        <v>698</v>
      </c>
      <c r="Y23" s="291" t="s">
        <v>698</v>
      </c>
      <c r="Z23" s="289" t="s">
        <v>698</v>
      </c>
    </row>
    <row r="24" spans="1:26">
      <c r="B24" s="145"/>
      <c r="C24" s="206" t="s">
        <v>436</v>
      </c>
      <c r="D24" s="207" t="s">
        <v>435</v>
      </c>
      <c r="E24" s="207"/>
      <c r="F24" s="207" t="s">
        <v>435</v>
      </c>
      <c r="G24" s="207" t="s">
        <v>435</v>
      </c>
      <c r="H24" s="204"/>
      <c r="I24" s="204"/>
      <c r="J24" s="207" t="s">
        <v>293</v>
      </c>
      <c r="K24" s="207" t="s">
        <v>262</v>
      </c>
      <c r="L24" s="207" t="s">
        <v>698</v>
      </c>
      <c r="M24" s="207" t="s">
        <v>698</v>
      </c>
      <c r="N24" s="204"/>
      <c r="O24" s="206" t="s">
        <v>437</v>
      </c>
      <c r="P24" s="207" t="s">
        <v>451</v>
      </c>
      <c r="Q24" s="207" t="s">
        <v>434</v>
      </c>
      <c r="R24" s="207" t="s">
        <v>262</v>
      </c>
      <c r="S24" s="207" t="s">
        <v>262</v>
      </c>
      <c r="T24" s="207" t="s">
        <v>262</v>
      </c>
      <c r="U24" s="207" t="s">
        <v>262</v>
      </c>
      <c r="V24" s="207" t="s">
        <v>547</v>
      </c>
      <c r="W24" s="207" t="s">
        <v>547</v>
      </c>
      <c r="X24" s="207" t="s">
        <v>698</v>
      </c>
      <c r="Y24" s="207" t="s">
        <v>698</v>
      </c>
      <c r="Z24" s="207" t="s">
        <v>698</v>
      </c>
    </row>
    <row r="25" spans="1:26">
      <c r="D25" s="121"/>
      <c r="E25" s="121"/>
      <c r="F25" s="121"/>
      <c r="G25" s="121"/>
      <c r="H25" s="227"/>
      <c r="I25" s="141"/>
      <c r="J25" s="227"/>
      <c r="K25" s="121"/>
      <c r="L25" s="121"/>
      <c r="M25" s="121"/>
      <c r="N25" s="121"/>
      <c r="O25" s="121"/>
      <c r="P25" s="121"/>
      <c r="Q25" s="121"/>
    </row>
    <row r="27" spans="1:26">
      <c r="B27" s="427" t="s">
        <v>578</v>
      </c>
      <c r="C27" s="403"/>
      <c r="D27" s="403"/>
      <c r="E27" s="403"/>
      <c r="F27" s="403"/>
      <c r="G27" s="403"/>
      <c r="H27" s="403"/>
      <c r="I27" s="403"/>
      <c r="J27" s="403"/>
      <c r="K27" s="403"/>
      <c r="L27" s="403"/>
      <c r="M27" s="403"/>
      <c r="N27" s="403"/>
      <c r="O27" s="403"/>
      <c r="P27" s="403"/>
      <c r="Q27" s="403"/>
      <c r="R27" s="403"/>
      <c r="S27" s="403"/>
      <c r="T27" s="403"/>
    </row>
    <row r="28" spans="1:26">
      <c r="B28" s="151" t="s">
        <v>585</v>
      </c>
      <c r="C28" s="152"/>
      <c r="D28" s="420" t="s">
        <v>579</v>
      </c>
      <c r="E28" s="421"/>
      <c r="F28" s="421"/>
      <c r="G28" s="421" t="s">
        <v>580</v>
      </c>
      <c r="H28" s="421"/>
      <c r="I28" s="421"/>
      <c r="J28" s="421"/>
      <c r="K28" s="228" t="s">
        <v>581</v>
      </c>
      <c r="L28" s="421" t="s">
        <v>582</v>
      </c>
      <c r="M28" s="421"/>
      <c r="N28" s="424"/>
      <c r="O28" s="421" t="s">
        <v>550</v>
      </c>
      <c r="P28" s="421"/>
      <c r="Q28" s="424"/>
      <c r="R28" s="421" t="s">
        <v>705</v>
      </c>
      <c r="S28" s="421"/>
      <c r="T28" s="424"/>
    </row>
    <row r="29" spans="1:26">
      <c r="B29" s="155"/>
      <c r="C29" s="156"/>
      <c r="D29" s="157" t="s">
        <v>591</v>
      </c>
      <c r="E29" s="401" t="s">
        <v>583</v>
      </c>
      <c r="F29" s="401"/>
      <c r="G29" s="401" t="s">
        <v>583</v>
      </c>
      <c r="H29" s="401"/>
      <c r="I29" s="401"/>
      <c r="J29" s="401"/>
      <c r="K29" s="157" t="s">
        <v>584</v>
      </c>
      <c r="L29" s="401" t="s">
        <v>583</v>
      </c>
      <c r="M29" s="401"/>
      <c r="N29" s="402"/>
      <c r="O29" s="401" t="s">
        <v>100</v>
      </c>
      <c r="P29" s="401"/>
      <c r="Q29" s="402"/>
      <c r="R29" s="401" t="s">
        <v>791</v>
      </c>
      <c r="S29" s="401"/>
      <c r="T29" s="402"/>
    </row>
    <row r="30" spans="1:26">
      <c r="B30" s="151"/>
      <c r="C30" s="152"/>
      <c r="D30" s="221"/>
      <c r="E30" s="221" t="s">
        <v>593</v>
      </c>
      <c r="F30" s="221" t="s">
        <v>596</v>
      </c>
      <c r="G30" s="221" t="s">
        <v>599</v>
      </c>
      <c r="H30" s="221" t="s">
        <v>593</v>
      </c>
      <c r="I30" s="221" t="s">
        <v>598</v>
      </c>
      <c r="J30" s="221" t="s">
        <v>597</v>
      </c>
      <c r="K30" s="221" t="s">
        <v>593</v>
      </c>
      <c r="L30" s="221" t="s">
        <v>599</v>
      </c>
      <c r="M30" s="221" t="s">
        <v>593</v>
      </c>
      <c r="N30" s="184" t="s">
        <v>596</v>
      </c>
      <c r="O30" s="270" t="s">
        <v>117</v>
      </c>
      <c r="P30" s="270" t="s">
        <v>118</v>
      </c>
      <c r="Q30" s="184" t="s">
        <v>180</v>
      </c>
      <c r="R30" s="290" t="s">
        <v>117</v>
      </c>
      <c r="S30" s="290" t="s">
        <v>118</v>
      </c>
      <c r="T30" s="184" t="s">
        <v>180</v>
      </c>
    </row>
    <row r="31" spans="1:26">
      <c r="B31" s="155"/>
      <c r="C31" s="156" t="s">
        <v>334</v>
      </c>
      <c r="D31" s="157" t="s">
        <v>594</v>
      </c>
      <c r="E31" s="157" t="s">
        <v>594</v>
      </c>
      <c r="F31" s="157" t="s">
        <v>595</v>
      </c>
      <c r="G31" s="157" t="s">
        <v>600</v>
      </c>
      <c r="H31" s="157" t="s">
        <v>600</v>
      </c>
      <c r="I31" s="157" t="s">
        <v>594</v>
      </c>
      <c r="J31" s="157" t="s">
        <v>595</v>
      </c>
      <c r="K31" s="157" t="s">
        <v>600</v>
      </c>
      <c r="L31" s="157" t="s">
        <v>594</v>
      </c>
      <c r="M31" s="157" t="s">
        <v>595</v>
      </c>
      <c r="N31" s="158" t="s">
        <v>595</v>
      </c>
      <c r="O31" s="277" t="s">
        <v>329</v>
      </c>
      <c r="P31" s="277" t="s">
        <v>328</v>
      </c>
      <c r="Q31" s="278" t="s">
        <v>328</v>
      </c>
      <c r="R31" s="277" t="s">
        <v>781</v>
      </c>
      <c r="S31" s="277" t="s">
        <v>787</v>
      </c>
      <c r="T31" s="278" t="s">
        <v>788</v>
      </c>
    </row>
    <row r="32" spans="1:26">
      <c r="B32" s="406" t="s">
        <v>604</v>
      </c>
      <c r="C32" s="229" t="s">
        <v>586</v>
      </c>
      <c r="D32" s="230" t="s">
        <v>592</v>
      </c>
      <c r="E32" s="230"/>
      <c r="F32" s="230"/>
      <c r="G32" s="230" t="s">
        <v>592</v>
      </c>
      <c r="H32" s="230"/>
      <c r="I32" s="230"/>
      <c r="J32" s="280"/>
      <c r="K32" s="280" t="s">
        <v>592</v>
      </c>
      <c r="L32" s="279" t="s">
        <v>592</v>
      </c>
      <c r="M32" s="280" t="s">
        <v>592</v>
      </c>
      <c r="N32" s="184"/>
      <c r="O32" s="287" t="s">
        <v>699</v>
      </c>
      <c r="P32" s="286"/>
      <c r="Q32" s="281"/>
      <c r="R32" s="287"/>
      <c r="S32" s="286"/>
      <c r="T32" s="281"/>
    </row>
    <row r="33" spans="2:20">
      <c r="B33" s="407"/>
      <c r="C33" s="156" t="s">
        <v>601</v>
      </c>
      <c r="D33" s="233" t="s">
        <v>605</v>
      </c>
      <c r="E33" s="231" t="s">
        <v>606</v>
      </c>
      <c r="F33" s="231" t="s">
        <v>606</v>
      </c>
      <c r="G33" s="233" t="s">
        <v>605</v>
      </c>
      <c r="H33" s="231" t="s">
        <v>606</v>
      </c>
      <c r="I33" s="231" t="s">
        <v>606</v>
      </c>
      <c r="J33" s="282" t="s">
        <v>606</v>
      </c>
      <c r="K33" s="282" t="s">
        <v>606</v>
      </c>
      <c r="L33" s="282" t="s">
        <v>605</v>
      </c>
      <c r="M33" s="282" t="s">
        <v>606</v>
      </c>
      <c r="N33" s="232" t="s">
        <v>606</v>
      </c>
      <c r="O33" s="282" t="s">
        <v>606</v>
      </c>
      <c r="P33" s="282"/>
      <c r="Q33" s="283"/>
      <c r="R33" s="282" t="s">
        <v>789</v>
      </c>
      <c r="S33" s="282" t="s">
        <v>789</v>
      </c>
      <c r="T33" s="282" t="s">
        <v>789</v>
      </c>
    </row>
    <row r="34" spans="2:20">
      <c r="B34" s="408"/>
      <c r="C34" s="146" t="s">
        <v>602</v>
      </c>
      <c r="D34" s="222"/>
      <c r="E34" s="222"/>
      <c r="F34" s="222"/>
      <c r="G34" s="222"/>
      <c r="H34" s="222"/>
      <c r="I34" s="222"/>
      <c r="J34" s="222"/>
      <c r="K34" s="222"/>
      <c r="L34" s="222"/>
      <c r="M34" s="222"/>
      <c r="N34" s="223"/>
      <c r="O34" s="284"/>
      <c r="P34" s="284"/>
      <c r="Q34" s="285"/>
      <c r="R34" s="284"/>
      <c r="S34" s="284"/>
      <c r="T34" s="285"/>
    </row>
    <row r="35" spans="2:20" ht="17.399999999999999">
      <c r="B35" s="409" t="s">
        <v>603</v>
      </c>
      <c r="C35" s="156" t="s">
        <v>587</v>
      </c>
      <c r="D35" s="157"/>
      <c r="E35" s="157" t="s">
        <v>592</v>
      </c>
      <c r="F35" s="157"/>
      <c r="G35" s="157"/>
      <c r="H35" s="157" t="s">
        <v>592</v>
      </c>
      <c r="I35" s="157"/>
      <c r="J35" s="157"/>
      <c r="K35" s="157" t="s">
        <v>592</v>
      </c>
      <c r="L35" s="157"/>
      <c r="M35" s="157"/>
      <c r="N35" s="158"/>
      <c r="O35" s="277"/>
      <c r="P35" s="277" t="s">
        <v>703</v>
      </c>
      <c r="Q35" s="277" t="s">
        <v>703</v>
      </c>
      <c r="R35" s="277"/>
      <c r="S35" s="277" t="s">
        <v>790</v>
      </c>
      <c r="T35" s="277"/>
    </row>
    <row r="36" spans="2:20">
      <c r="B36" s="410"/>
      <c r="C36" s="152" t="s">
        <v>588</v>
      </c>
      <c r="D36" s="221"/>
      <c r="E36" s="221"/>
      <c r="F36" s="221"/>
      <c r="G36" s="221"/>
      <c r="H36" s="221"/>
      <c r="I36" s="221"/>
      <c r="J36" s="221"/>
      <c r="K36" s="221"/>
      <c r="L36" s="221"/>
      <c r="M36" s="221"/>
      <c r="N36" s="184"/>
      <c r="O36" s="286"/>
      <c r="P36" s="286"/>
      <c r="Q36" s="281"/>
      <c r="R36" s="286"/>
      <c r="S36" s="286"/>
      <c r="T36" s="281"/>
    </row>
    <row r="37" spans="2:20">
      <c r="B37" s="410"/>
      <c r="C37" s="156" t="s">
        <v>589</v>
      </c>
      <c r="D37" s="157"/>
      <c r="E37" s="157"/>
      <c r="F37" s="157"/>
      <c r="G37" s="173"/>
      <c r="H37" s="173"/>
      <c r="I37" s="173" t="s">
        <v>592</v>
      </c>
      <c r="J37" s="173" t="s">
        <v>592</v>
      </c>
      <c r="K37" s="157"/>
      <c r="L37" s="157"/>
      <c r="M37" s="157"/>
      <c r="N37" s="158"/>
      <c r="O37" s="277"/>
      <c r="P37" s="277"/>
      <c r="Q37" s="278"/>
      <c r="R37" s="277"/>
      <c r="S37" s="277"/>
      <c r="T37" s="278" t="s">
        <v>790</v>
      </c>
    </row>
    <row r="38" spans="2:20">
      <c r="B38" s="411"/>
      <c r="C38" s="146" t="s">
        <v>590</v>
      </c>
      <c r="D38" s="219"/>
      <c r="E38" s="219"/>
      <c r="F38" s="219" t="s">
        <v>592</v>
      </c>
      <c r="G38" s="219"/>
      <c r="H38" s="219"/>
      <c r="I38" s="219"/>
      <c r="J38" s="219"/>
      <c r="K38" s="219"/>
      <c r="L38" s="219"/>
      <c r="M38" s="219"/>
      <c r="N38" s="220" t="s">
        <v>592</v>
      </c>
      <c r="O38" s="284" t="s">
        <v>699</v>
      </c>
      <c r="P38" s="284"/>
      <c r="Q38" s="285"/>
      <c r="R38" s="284"/>
      <c r="S38" s="284"/>
      <c r="T38" s="285" t="s">
        <v>790</v>
      </c>
    </row>
  </sheetData>
  <mergeCells count="35">
    <mergeCell ref="O8:Z8"/>
    <mergeCell ref="O9:Z9"/>
    <mergeCell ref="O28:Q28"/>
    <mergeCell ref="O29:Q29"/>
    <mergeCell ref="D9:M9"/>
    <mergeCell ref="R28:T28"/>
    <mergeCell ref="R29:T29"/>
    <mergeCell ref="B27:T27"/>
    <mergeCell ref="J8:M8"/>
    <mergeCell ref="L29:N29"/>
    <mergeCell ref="L28:N28"/>
    <mergeCell ref="B32:B34"/>
    <mergeCell ref="B35:B38"/>
    <mergeCell ref="B8:B9"/>
    <mergeCell ref="D3:G3"/>
    <mergeCell ref="D4:F4"/>
    <mergeCell ref="D5:F5"/>
    <mergeCell ref="D8:G8"/>
    <mergeCell ref="C8:C9"/>
    <mergeCell ref="E29:F29"/>
    <mergeCell ref="G29:J29"/>
    <mergeCell ref="D28:F28"/>
    <mergeCell ref="G28:J28"/>
    <mergeCell ref="X4:Z4"/>
    <mergeCell ref="X5:Z5"/>
    <mergeCell ref="O3:Z3"/>
    <mergeCell ref="J3:M3"/>
    <mergeCell ref="K4:M4"/>
    <mergeCell ref="K5:M5"/>
    <mergeCell ref="P4:Q4"/>
    <mergeCell ref="P5:Q5"/>
    <mergeCell ref="V4:W4"/>
    <mergeCell ref="V5:W5"/>
    <mergeCell ref="R4:T4"/>
    <mergeCell ref="R5:T5"/>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8"/>
  <sheetViews>
    <sheetView zoomScale="80" zoomScaleNormal="80" workbookViewId="0">
      <selection activeCell="B23" sqref="B23"/>
    </sheetView>
  </sheetViews>
  <sheetFormatPr defaultColWidth="12" defaultRowHeight="16.2"/>
  <cols>
    <col min="1" max="1" width="12.109375" style="4" customWidth="1"/>
    <col min="2" max="5" width="13.109375" style="4" customWidth="1"/>
    <col min="6" max="8" width="12.6640625" style="4" customWidth="1"/>
    <col min="9" max="12" width="13.109375" style="4" customWidth="1"/>
    <col min="13" max="13" width="12" style="4"/>
    <col min="14" max="14" width="11.88671875" style="4" customWidth="1"/>
    <col min="15" max="16384" width="12" style="4"/>
  </cols>
  <sheetData>
    <row r="1" spans="1:20">
      <c r="A1" s="1" t="s">
        <v>0</v>
      </c>
      <c r="B1" s="2"/>
      <c r="C1" s="2"/>
      <c r="D1" s="2"/>
      <c r="E1" s="2"/>
      <c r="F1" s="2"/>
      <c r="G1" s="2"/>
      <c r="H1" s="2"/>
      <c r="I1" s="2"/>
      <c r="J1" s="2"/>
      <c r="K1" s="2"/>
      <c r="L1" s="2"/>
      <c r="M1" s="2"/>
      <c r="N1" s="2"/>
      <c r="O1" s="2"/>
      <c r="P1" s="2"/>
      <c r="Q1" s="2"/>
      <c r="R1" s="2"/>
      <c r="S1" s="3"/>
    </row>
    <row r="2" spans="1:20">
      <c r="A2" s="5" t="s">
        <v>272</v>
      </c>
      <c r="B2" s="6"/>
      <c r="C2" s="6"/>
      <c r="D2" s="6"/>
      <c r="E2" s="6"/>
      <c r="F2" s="6"/>
      <c r="G2" s="6"/>
      <c r="H2" s="6"/>
      <c r="I2" s="6"/>
      <c r="J2" s="6"/>
      <c r="K2" s="6"/>
      <c r="L2" s="6"/>
      <c r="M2" s="6"/>
      <c r="N2" s="6"/>
      <c r="O2" s="6"/>
      <c r="P2" s="6"/>
      <c r="Q2" s="6"/>
      <c r="R2" s="6"/>
      <c r="S2" s="7"/>
    </row>
    <row r="3" spans="1:20">
      <c r="A3" s="8" t="s">
        <v>2</v>
      </c>
      <c r="B3" s="9"/>
      <c r="C3" s="60" t="s">
        <v>98</v>
      </c>
      <c r="D3" s="9"/>
      <c r="E3" s="9"/>
      <c r="F3" s="9"/>
      <c r="G3" s="9"/>
      <c r="H3" s="9"/>
      <c r="I3" s="9"/>
      <c r="J3" s="9"/>
      <c r="K3" s="9"/>
      <c r="L3" s="9"/>
      <c r="M3" s="9"/>
      <c r="N3" s="9"/>
      <c r="O3" s="9"/>
      <c r="P3" s="9"/>
      <c r="Q3" s="9"/>
      <c r="R3" s="9"/>
      <c r="S3" s="10"/>
    </row>
    <row r="4" spans="1:20" s="12" customFormat="1">
      <c r="A4" s="11"/>
      <c r="B4" s="11"/>
      <c r="C4" s="11"/>
      <c r="D4" s="11"/>
      <c r="E4" s="11"/>
      <c r="F4" s="11"/>
      <c r="G4" s="11"/>
      <c r="H4" s="11"/>
      <c r="I4" s="11"/>
      <c r="J4" s="11"/>
      <c r="K4" s="11"/>
      <c r="L4" s="11"/>
      <c r="M4" s="11"/>
      <c r="N4" s="11"/>
      <c r="O4" s="11"/>
      <c r="P4" s="11"/>
      <c r="Q4" s="11"/>
      <c r="R4" s="11"/>
      <c r="S4" s="11"/>
    </row>
    <row r="5" spans="1:20" ht="18" customHeight="1">
      <c r="A5" s="13" t="s">
        <v>477</v>
      </c>
      <c r="B5" s="136" t="s">
        <v>478</v>
      </c>
      <c r="C5" s="136"/>
      <c r="D5" s="14"/>
      <c r="E5" s="14"/>
      <c r="F5" s="14"/>
      <c r="G5" s="14"/>
      <c r="H5" s="14"/>
      <c r="I5" s="14"/>
      <c r="J5" s="14"/>
      <c r="K5" s="14"/>
      <c r="L5" s="14"/>
      <c r="M5" s="14"/>
      <c r="N5" s="14"/>
      <c r="O5" s="14"/>
      <c r="P5" s="14"/>
      <c r="Q5" s="14"/>
      <c r="R5" s="14"/>
      <c r="S5" s="14"/>
      <c r="T5" s="15"/>
    </row>
    <row r="6" spans="1:20">
      <c r="A6" s="16" t="s">
        <v>479</v>
      </c>
      <c r="B6" s="17"/>
      <c r="C6" s="17"/>
      <c r="D6" s="17"/>
      <c r="E6" s="17"/>
      <c r="F6" s="17"/>
      <c r="G6" s="17"/>
      <c r="H6" s="17"/>
      <c r="I6" s="17"/>
      <c r="J6" s="17"/>
      <c r="K6" s="17"/>
      <c r="L6" s="17"/>
      <c r="M6" s="17"/>
      <c r="N6" s="17"/>
      <c r="O6" s="17"/>
      <c r="P6" s="17"/>
      <c r="Q6" s="17"/>
      <c r="R6" s="17"/>
      <c r="S6" s="17"/>
      <c r="T6" s="18"/>
    </row>
    <row r="7" spans="1:20">
      <c r="A7" s="16" t="s">
        <v>480</v>
      </c>
      <c r="B7" s="17"/>
      <c r="C7" s="17"/>
      <c r="D7" s="17"/>
      <c r="E7" s="17"/>
      <c r="F7" s="17"/>
      <c r="G7" s="17"/>
      <c r="H7" s="17"/>
      <c r="I7" s="17"/>
      <c r="J7" s="17"/>
      <c r="K7" s="17"/>
      <c r="L7" s="17"/>
      <c r="M7" s="17"/>
      <c r="N7" s="17"/>
      <c r="O7" s="17"/>
      <c r="P7" s="17"/>
      <c r="Q7" s="17"/>
      <c r="R7" s="17"/>
      <c r="S7" s="17"/>
      <c r="T7" s="18"/>
    </row>
    <row r="8" spans="1:20">
      <c r="A8" s="19" t="s">
        <v>481</v>
      </c>
      <c r="B8" s="20"/>
      <c r="C8" s="20"/>
      <c r="D8" s="20"/>
      <c r="E8" s="20"/>
      <c r="F8" s="20"/>
      <c r="G8" s="20"/>
      <c r="H8" s="20"/>
      <c r="I8" s="20"/>
      <c r="J8" s="20"/>
      <c r="K8" s="20"/>
      <c r="L8" s="20"/>
      <c r="M8" s="20"/>
      <c r="N8" s="20"/>
      <c r="O8" s="20"/>
      <c r="P8" s="20"/>
      <c r="Q8" s="20"/>
      <c r="R8" s="20"/>
      <c r="S8" s="20"/>
      <c r="T8" s="21"/>
    </row>
    <row r="9" spans="1:20" s="12" customFormat="1" ht="17.25" customHeight="1">
      <c r="A9" s="22"/>
      <c r="B9" s="22"/>
      <c r="C9" s="22"/>
      <c r="D9" s="22"/>
      <c r="E9" s="22"/>
      <c r="F9" s="22"/>
      <c r="G9" s="22"/>
      <c r="H9" s="22"/>
      <c r="I9" s="22"/>
      <c r="J9" s="22"/>
      <c r="K9" s="22"/>
      <c r="L9" s="22"/>
      <c r="M9" s="22"/>
      <c r="N9" s="22"/>
      <c r="O9" s="22"/>
      <c r="P9" s="22"/>
      <c r="Q9" s="22"/>
      <c r="R9" s="22"/>
      <c r="S9" s="22"/>
      <c r="T9" s="22"/>
    </row>
    <row r="10" spans="1:20">
      <c r="A10" s="4" t="s">
        <v>273</v>
      </c>
      <c r="B10" s="4" t="s">
        <v>458</v>
      </c>
    </row>
    <row r="12" spans="1:20">
      <c r="B12" s="134" t="s">
        <v>210</v>
      </c>
      <c r="E12" s="4" t="s">
        <v>9</v>
      </c>
    </row>
    <row r="13" spans="1:20">
      <c r="B13" s="4" t="s">
        <v>80</v>
      </c>
      <c r="C13" s="4">
        <v>100</v>
      </c>
      <c r="F13" s="4" t="s">
        <v>275</v>
      </c>
      <c r="G13" s="4" t="s">
        <v>112</v>
      </c>
      <c r="H13" s="4" t="s">
        <v>111</v>
      </c>
      <c r="I13" s="4" t="s">
        <v>276</v>
      </c>
      <c r="J13" s="4" t="s">
        <v>277</v>
      </c>
    </row>
    <row r="14" spans="1:20">
      <c r="B14" s="4" t="s">
        <v>59</v>
      </c>
      <c r="C14" s="4">
        <v>0</v>
      </c>
      <c r="E14" s="4" t="s">
        <v>278</v>
      </c>
      <c r="F14" s="34">
        <f>+C13/5</f>
        <v>20</v>
      </c>
      <c r="G14" s="34">
        <f>+F14</f>
        <v>20</v>
      </c>
      <c r="H14" s="34">
        <f t="shared" ref="H14:J14" si="0">+G14</f>
        <v>20</v>
      </c>
      <c r="I14" s="34">
        <f t="shared" si="0"/>
        <v>20</v>
      </c>
      <c r="J14" s="34">
        <f t="shared" si="0"/>
        <v>20</v>
      </c>
    </row>
    <row r="15" spans="1:20">
      <c r="B15" s="4" t="s">
        <v>158</v>
      </c>
      <c r="C15" s="4">
        <v>5</v>
      </c>
    </row>
    <row r="16" spans="1:20">
      <c r="B16" s="4" t="s">
        <v>280</v>
      </c>
      <c r="C16" s="56">
        <f>1/C15</f>
        <v>0.2</v>
      </c>
      <c r="E16" s="4" t="s">
        <v>279</v>
      </c>
      <c r="F16" s="34">
        <f>+C13*C16*2</f>
        <v>40</v>
      </c>
      <c r="G16" s="34">
        <f>+F17*$C$16*2</f>
        <v>24</v>
      </c>
      <c r="H16" s="34">
        <f>+G17*$C$16*2</f>
        <v>14.4</v>
      </c>
      <c r="I16" s="34">
        <f>+H17/2</f>
        <v>10.8</v>
      </c>
      <c r="J16" s="34">
        <f>+I16</f>
        <v>10.8</v>
      </c>
      <c r="L16" s="4" t="s">
        <v>274</v>
      </c>
    </row>
    <row r="17" spans="2:19">
      <c r="E17" s="4" t="s">
        <v>281</v>
      </c>
      <c r="F17" s="4">
        <f>+C13-F16</f>
        <v>60</v>
      </c>
      <c r="G17" s="4">
        <f>+F17-G16</f>
        <v>36</v>
      </c>
      <c r="H17" s="4">
        <f>+G17-H16</f>
        <v>21.6</v>
      </c>
      <c r="L17" s="4" t="s">
        <v>282</v>
      </c>
    </row>
    <row r="18" spans="2:19">
      <c r="L18" s="4" t="s">
        <v>283</v>
      </c>
    </row>
    <row r="19" spans="2:19">
      <c r="B19" s="4" t="s">
        <v>459</v>
      </c>
    </row>
    <row r="20" spans="2:19">
      <c r="C20" s="4" t="s">
        <v>278</v>
      </c>
      <c r="M20" s="4" t="s">
        <v>279</v>
      </c>
    </row>
    <row r="21" spans="2:19">
      <c r="D21" s="4" t="s">
        <v>460</v>
      </c>
      <c r="F21" s="4">
        <v>50</v>
      </c>
      <c r="G21" s="4">
        <v>80</v>
      </c>
      <c r="H21" s="4">
        <v>90</v>
      </c>
      <c r="I21" s="4">
        <v>90</v>
      </c>
      <c r="J21" s="4">
        <v>90</v>
      </c>
      <c r="N21" s="4">
        <f>+F21</f>
        <v>50</v>
      </c>
      <c r="O21" s="4">
        <f t="shared" ref="O21:R21" si="1">+G21</f>
        <v>80</v>
      </c>
      <c r="P21" s="4">
        <f t="shared" si="1"/>
        <v>90</v>
      </c>
      <c r="Q21" s="4">
        <f t="shared" si="1"/>
        <v>90</v>
      </c>
      <c r="R21" s="4">
        <f t="shared" si="1"/>
        <v>90</v>
      </c>
    </row>
    <row r="22" spans="2:19">
      <c r="E22" s="77"/>
      <c r="F22" s="44"/>
      <c r="G22" s="44"/>
      <c r="H22" s="44"/>
      <c r="I22" s="44"/>
      <c r="J22" s="76"/>
      <c r="M22" s="77"/>
      <c r="N22" s="44"/>
      <c r="O22" s="44"/>
      <c r="P22" s="44"/>
      <c r="Q22" s="44"/>
      <c r="R22" s="76"/>
    </row>
    <row r="23" spans="2:19">
      <c r="E23" s="73"/>
      <c r="F23" s="78"/>
      <c r="G23" s="78"/>
      <c r="H23" s="78"/>
      <c r="I23" s="78"/>
      <c r="J23" s="71"/>
      <c r="M23" s="73"/>
      <c r="N23" s="78"/>
      <c r="O23" s="78"/>
      <c r="P23" s="78"/>
      <c r="Q23" s="78"/>
      <c r="R23" s="71"/>
    </row>
    <row r="25" spans="2:19">
      <c r="D25" s="4" t="s">
        <v>462</v>
      </c>
      <c r="F25" s="4">
        <f>+F21*0.3</f>
        <v>15</v>
      </c>
      <c r="G25" s="4">
        <f>+G21*0.3</f>
        <v>24</v>
      </c>
      <c r="H25" s="4">
        <f>+H21*0.3</f>
        <v>27</v>
      </c>
      <c r="I25" s="4">
        <f>+I21*0.3</f>
        <v>27</v>
      </c>
      <c r="J25" s="4">
        <f>+J21*0.3</f>
        <v>27</v>
      </c>
      <c r="N25" s="4">
        <f>+F25</f>
        <v>15</v>
      </c>
      <c r="O25" s="4">
        <f t="shared" ref="O25:O32" si="2">+G25</f>
        <v>24</v>
      </c>
      <c r="P25" s="4">
        <f t="shared" ref="P25:P32" si="3">+H25</f>
        <v>27</v>
      </c>
      <c r="Q25" s="4">
        <f t="shared" ref="Q25:Q32" si="4">+I25</f>
        <v>27</v>
      </c>
      <c r="R25" s="4">
        <f t="shared" ref="R25:R32" si="5">+J25</f>
        <v>27</v>
      </c>
    </row>
    <row r="26" spans="2:19">
      <c r="D26" s="4" t="s">
        <v>463</v>
      </c>
      <c r="F26" s="4">
        <v>18</v>
      </c>
      <c r="G26" s="4">
        <v>18</v>
      </c>
      <c r="H26" s="4">
        <v>18</v>
      </c>
      <c r="I26" s="4">
        <v>18</v>
      </c>
      <c r="J26" s="4">
        <v>18</v>
      </c>
      <c r="N26" s="4">
        <f t="shared" ref="N26:N32" si="6">+F26</f>
        <v>18</v>
      </c>
      <c r="O26" s="4">
        <f t="shared" si="2"/>
        <v>18</v>
      </c>
      <c r="P26" s="4">
        <f t="shared" si="3"/>
        <v>18</v>
      </c>
      <c r="Q26" s="4">
        <f t="shared" si="4"/>
        <v>18</v>
      </c>
      <c r="R26" s="4">
        <f t="shared" si="5"/>
        <v>18</v>
      </c>
    </row>
    <row r="27" spans="2:19">
      <c r="D27" s="4" t="s">
        <v>37</v>
      </c>
      <c r="F27" s="117">
        <f>+E32*0.04</f>
        <v>2</v>
      </c>
      <c r="G27" s="117">
        <f t="shared" ref="G27:J27" si="7">+F32*0.04</f>
        <v>1.6</v>
      </c>
      <c r="H27" s="117">
        <f t="shared" si="7"/>
        <v>1.2</v>
      </c>
      <c r="I27" s="117">
        <f t="shared" si="7"/>
        <v>0.8</v>
      </c>
      <c r="J27" s="117">
        <f t="shared" si="7"/>
        <v>0.4</v>
      </c>
      <c r="N27" s="117">
        <f t="shared" si="6"/>
        <v>2</v>
      </c>
      <c r="O27" s="117">
        <f t="shared" si="2"/>
        <v>1.6</v>
      </c>
      <c r="P27" s="117">
        <f t="shared" si="3"/>
        <v>1.2</v>
      </c>
      <c r="Q27" s="117">
        <f t="shared" si="4"/>
        <v>0.8</v>
      </c>
      <c r="R27" s="117">
        <f t="shared" si="5"/>
        <v>0.4</v>
      </c>
    </row>
    <row r="28" spans="2:19">
      <c r="D28" s="4" t="s">
        <v>40</v>
      </c>
      <c r="F28" s="52">
        <v>0</v>
      </c>
      <c r="G28" s="52">
        <f>+G33*0.4</f>
        <v>6.56</v>
      </c>
      <c r="H28" s="52">
        <f t="shared" ref="H28:J28" si="8">+H33*0.4</f>
        <v>9.52</v>
      </c>
      <c r="I28" s="52">
        <f t="shared" si="8"/>
        <v>9.6800000000000015</v>
      </c>
      <c r="J28" s="52">
        <f t="shared" si="8"/>
        <v>9.8399999999999981</v>
      </c>
      <c r="K28" s="4" t="s">
        <v>287</v>
      </c>
      <c r="N28" s="52">
        <f t="shared" si="6"/>
        <v>0</v>
      </c>
      <c r="O28" s="52">
        <f>+O33*0.4</f>
        <v>4.9600000000000026</v>
      </c>
      <c r="P28" s="52">
        <f t="shared" ref="P28:R28" si="9">+P33*0.4</f>
        <v>11.76</v>
      </c>
      <c r="Q28" s="52">
        <f t="shared" si="9"/>
        <v>13.360000000000003</v>
      </c>
      <c r="R28" s="52">
        <f t="shared" si="9"/>
        <v>13.52</v>
      </c>
      <c r="S28" s="4" t="s">
        <v>287</v>
      </c>
    </row>
    <row r="29" spans="2:19">
      <c r="C29" s="4" t="s">
        <v>291</v>
      </c>
      <c r="F29" s="52">
        <f>+F21-SUM(F25:F28)</f>
        <v>15</v>
      </c>
      <c r="G29" s="52">
        <f>+G21-SUM(G25:G28)</f>
        <v>29.839999999999996</v>
      </c>
      <c r="H29" s="52">
        <f>+H21-SUM(H25:H28)</f>
        <v>34.28</v>
      </c>
      <c r="I29" s="52">
        <f>+I21-SUM(I25:I28)</f>
        <v>34.520000000000003</v>
      </c>
      <c r="J29" s="52">
        <f>+J21-SUM(J25:J28)</f>
        <v>34.760000000000005</v>
      </c>
      <c r="K29" s="88">
        <f>+SUM(F29:J29)</f>
        <v>148.40000000000003</v>
      </c>
      <c r="N29" s="52">
        <f>+N21-SUM(N25:N28)</f>
        <v>15</v>
      </c>
      <c r="O29" s="52">
        <f>+O21-SUM(O25:O28)</f>
        <v>31.439999999999998</v>
      </c>
      <c r="P29" s="52">
        <f>+P21-SUM(P25:P28)</f>
        <v>32.04</v>
      </c>
      <c r="Q29" s="52">
        <f>+Q21-SUM(Q25:Q28)</f>
        <v>30.840000000000003</v>
      </c>
      <c r="R29" s="52">
        <f>+R21-SUM(R25:R28)</f>
        <v>31.08</v>
      </c>
      <c r="S29" s="88">
        <f>+SUM(N29:R29)</f>
        <v>140.39999999999998</v>
      </c>
    </row>
    <row r="31" spans="2:19">
      <c r="C31" s="4" t="s">
        <v>285</v>
      </c>
      <c r="D31" s="4" t="s">
        <v>9</v>
      </c>
      <c r="F31" s="4">
        <f>+F14</f>
        <v>20</v>
      </c>
      <c r="G31" s="4">
        <f>+G14</f>
        <v>20</v>
      </c>
      <c r="H31" s="4">
        <f>+H14</f>
        <v>20</v>
      </c>
      <c r="I31" s="4">
        <f>+I14</f>
        <v>20</v>
      </c>
      <c r="J31" s="4">
        <f>+J14</f>
        <v>20</v>
      </c>
      <c r="N31" s="4">
        <f>+F16</f>
        <v>40</v>
      </c>
      <c r="O31" s="4">
        <f t="shared" ref="O31:R31" si="10">+G16</f>
        <v>24</v>
      </c>
      <c r="P31" s="4">
        <f t="shared" si="10"/>
        <v>14.4</v>
      </c>
      <c r="Q31" s="4">
        <f t="shared" si="10"/>
        <v>10.8</v>
      </c>
      <c r="R31" s="4">
        <f t="shared" si="10"/>
        <v>10.8</v>
      </c>
    </row>
    <row r="32" spans="2:19">
      <c r="D32" s="4" t="s">
        <v>286</v>
      </c>
      <c r="E32" s="4">
        <v>50</v>
      </c>
      <c r="F32" s="4">
        <v>40</v>
      </c>
      <c r="G32" s="4">
        <v>30</v>
      </c>
      <c r="H32" s="4">
        <v>20</v>
      </c>
      <c r="I32" s="4">
        <v>10</v>
      </c>
      <c r="J32" s="4">
        <v>0</v>
      </c>
      <c r="N32" s="4">
        <f t="shared" si="6"/>
        <v>40</v>
      </c>
      <c r="O32" s="4">
        <f t="shared" si="2"/>
        <v>30</v>
      </c>
      <c r="P32" s="4">
        <f t="shared" si="3"/>
        <v>20</v>
      </c>
      <c r="Q32" s="4">
        <f t="shared" si="4"/>
        <v>10</v>
      </c>
      <c r="R32" s="4">
        <f t="shared" si="5"/>
        <v>0</v>
      </c>
    </row>
    <row r="33" spans="1:18">
      <c r="D33" s="4" t="s">
        <v>199</v>
      </c>
      <c r="F33" s="87">
        <f>+F21-SUM(F25:F27,F31)</f>
        <v>-5</v>
      </c>
      <c r="G33" s="87">
        <f>+G21-SUM(G25:G27,G31)</f>
        <v>16.399999999999999</v>
      </c>
      <c r="H33" s="87">
        <f>+H21-SUM(H25:H27,H31)</f>
        <v>23.799999999999997</v>
      </c>
      <c r="I33" s="87">
        <f>+I21-SUM(I25:I27,I31)</f>
        <v>24.200000000000003</v>
      </c>
      <c r="J33" s="87">
        <f>+J21-SUM(J25:J27,J31)</f>
        <v>24.599999999999994</v>
      </c>
      <c r="N33" s="87"/>
      <c r="O33" s="87">
        <f>+O21-SUM(O25:O27,O31)</f>
        <v>12.400000000000006</v>
      </c>
      <c r="P33" s="87">
        <f>+P21-SUM(P25:P27,P31)</f>
        <v>29.4</v>
      </c>
      <c r="Q33" s="87">
        <f>+Q21-SUM(Q25:Q27,Q31)</f>
        <v>33.400000000000006</v>
      </c>
      <c r="R33" s="87">
        <f>+R21-SUM(R25:R27,R31)</f>
        <v>33.799999999999997</v>
      </c>
    </row>
    <row r="34" spans="1:18">
      <c r="D34" s="4" t="s">
        <v>461</v>
      </c>
      <c r="E34" s="4">
        <v>100</v>
      </c>
    </row>
    <row r="36" spans="1:18">
      <c r="A36" s="4" t="s">
        <v>288</v>
      </c>
    </row>
    <row r="37" spans="1:18">
      <c r="C37" s="4" t="s">
        <v>289</v>
      </c>
      <c r="D37" s="4" t="s">
        <v>290</v>
      </c>
      <c r="E37" s="4">
        <v>50</v>
      </c>
      <c r="F37" s="4">
        <v>-10</v>
      </c>
      <c r="G37" s="4">
        <v>-10</v>
      </c>
      <c r="H37" s="4">
        <v>-10</v>
      </c>
      <c r="I37" s="4">
        <v>-10</v>
      </c>
      <c r="J37" s="4">
        <f>-10+50</f>
        <v>40</v>
      </c>
    </row>
    <row r="38" spans="1:18">
      <c r="D38" s="4" t="s">
        <v>465</v>
      </c>
      <c r="J38" s="4">
        <v>-100</v>
      </c>
    </row>
    <row r="39" spans="1:18">
      <c r="D39" s="4" t="s">
        <v>291</v>
      </c>
      <c r="F39" s="52">
        <f>+F29</f>
        <v>15</v>
      </c>
      <c r="G39" s="52">
        <f>+G29</f>
        <v>29.839999999999996</v>
      </c>
      <c r="H39" s="52">
        <f>+H29</f>
        <v>34.28</v>
      </c>
      <c r="I39" s="52">
        <f>+I29</f>
        <v>34.520000000000003</v>
      </c>
      <c r="J39" s="52">
        <f>+J29</f>
        <v>34.760000000000005</v>
      </c>
    </row>
    <row r="40" spans="1:18">
      <c r="E40" s="53">
        <f t="shared" ref="E40:J40" si="11">+SUM(E37:E39)</f>
        <v>50</v>
      </c>
      <c r="F40" s="53">
        <f t="shared" si="11"/>
        <v>5</v>
      </c>
      <c r="G40" s="53">
        <f t="shared" si="11"/>
        <v>19.839999999999996</v>
      </c>
      <c r="H40" s="53">
        <f t="shared" si="11"/>
        <v>24.28</v>
      </c>
      <c r="I40" s="53">
        <f t="shared" si="11"/>
        <v>24.520000000000003</v>
      </c>
      <c r="J40" s="53">
        <f t="shared" si="11"/>
        <v>-25.239999999999995</v>
      </c>
      <c r="K40" s="142">
        <f>+SUM(E40:J40)</f>
        <v>98.40000000000002</v>
      </c>
    </row>
    <row r="42" spans="1:18">
      <c r="C42" s="4" t="s">
        <v>464</v>
      </c>
      <c r="D42" s="4" t="s">
        <v>466</v>
      </c>
      <c r="E42" s="4">
        <v>50</v>
      </c>
      <c r="J42" s="4">
        <f>-50+50</f>
        <v>0</v>
      </c>
    </row>
    <row r="43" spans="1:18">
      <c r="D43" s="4" t="s">
        <v>467</v>
      </c>
      <c r="J43" s="4">
        <f>+J38</f>
        <v>-100</v>
      </c>
    </row>
    <row r="44" spans="1:18">
      <c r="D44" s="4" t="s">
        <v>468</v>
      </c>
      <c r="F44" s="52">
        <f>+F39</f>
        <v>15</v>
      </c>
      <c r="G44" s="52">
        <f t="shared" ref="G44:J44" si="12">+G39</f>
        <v>29.839999999999996</v>
      </c>
      <c r="H44" s="52">
        <f t="shared" si="12"/>
        <v>34.28</v>
      </c>
      <c r="I44" s="52">
        <f t="shared" si="12"/>
        <v>34.520000000000003</v>
      </c>
      <c r="J44" s="52">
        <f t="shared" si="12"/>
        <v>34.760000000000005</v>
      </c>
    </row>
    <row r="45" spans="1:18">
      <c r="D45" s="4" t="s">
        <v>469</v>
      </c>
    </row>
    <row r="46" spans="1:18">
      <c r="D46" s="63" t="s">
        <v>470</v>
      </c>
      <c r="F46" s="69">
        <f>F27</f>
        <v>2</v>
      </c>
      <c r="G46" s="69">
        <f t="shared" ref="G46:J46" si="13">G27</f>
        <v>1.6</v>
      </c>
      <c r="H46" s="69">
        <f t="shared" si="13"/>
        <v>1.2</v>
      </c>
      <c r="I46" s="69">
        <f t="shared" si="13"/>
        <v>0.8</v>
      </c>
      <c r="J46" s="69">
        <f t="shared" si="13"/>
        <v>0.4</v>
      </c>
    </row>
    <row r="47" spans="1:18">
      <c r="D47" s="63" t="s">
        <v>471</v>
      </c>
      <c r="F47" s="69">
        <f>-E42*0.04</f>
        <v>-2</v>
      </c>
      <c r="G47" s="69">
        <f>+F47</f>
        <v>-2</v>
      </c>
      <c r="H47" s="69">
        <f t="shared" ref="H47:J47" si="14">+G47</f>
        <v>-2</v>
      </c>
      <c r="I47" s="69">
        <f t="shared" si="14"/>
        <v>-2</v>
      </c>
      <c r="J47" s="69">
        <f t="shared" si="14"/>
        <v>-2</v>
      </c>
      <c r="K47" s="4" t="s">
        <v>472</v>
      </c>
    </row>
    <row r="48" spans="1:18">
      <c r="E48" s="4">
        <f>+SUM(E42:E47)</f>
        <v>50</v>
      </c>
      <c r="F48" s="4">
        <f t="shared" ref="F48:J48" si="15">+SUM(F42:F47)</f>
        <v>15</v>
      </c>
      <c r="G48" s="4">
        <f t="shared" si="15"/>
        <v>29.439999999999998</v>
      </c>
      <c r="H48" s="4">
        <f t="shared" si="15"/>
        <v>33.480000000000004</v>
      </c>
      <c r="I48" s="4">
        <f t="shared" si="15"/>
        <v>33.32</v>
      </c>
      <c r="J48" s="4">
        <f t="shared" si="15"/>
        <v>-66.839999999999989</v>
      </c>
      <c r="K48" s="142">
        <f>+SUM(E48:J48)</f>
        <v>94.40000000000002</v>
      </c>
    </row>
  </sheetData>
  <phoneticPr fontId="3"/>
  <pageMargins left="0.25" right="0.25" top="0.75" bottom="0.75" header="0.3" footer="0.3"/>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F4853-BBCB-45EF-AF3F-537A584A6980}">
  <sheetPr>
    <tabColor rgb="FF0070C0"/>
    <pageSetUpPr fitToPage="1"/>
  </sheetPr>
  <dimension ref="A1:U149"/>
  <sheetViews>
    <sheetView zoomScaleNormal="100" workbookViewId="0">
      <selection activeCell="J15" sqref="J15"/>
    </sheetView>
  </sheetViews>
  <sheetFormatPr defaultColWidth="12" defaultRowHeight="16.2"/>
  <cols>
    <col min="1" max="1" width="12.109375" style="4" customWidth="1"/>
    <col min="2" max="6" width="13.109375" style="4" customWidth="1"/>
    <col min="7" max="9" width="12.6640625" style="4" customWidth="1"/>
    <col min="10" max="13" width="13.109375" style="4" customWidth="1"/>
    <col min="14" max="14" width="12" style="4"/>
    <col min="15" max="15" width="11.88671875" style="4" customWidth="1"/>
    <col min="16" max="16384" width="12" style="4"/>
  </cols>
  <sheetData>
    <row r="1" spans="1:21">
      <c r="A1" s="1" t="s">
        <v>0</v>
      </c>
      <c r="B1" s="2"/>
      <c r="C1" s="2"/>
      <c r="D1" s="2"/>
      <c r="E1" s="2"/>
      <c r="F1" s="2"/>
      <c r="G1" s="2"/>
      <c r="H1" s="2"/>
      <c r="I1" s="2"/>
      <c r="J1" s="2"/>
      <c r="K1" s="2"/>
      <c r="L1" s="2"/>
      <c r="M1" s="2"/>
      <c r="N1" s="2"/>
      <c r="O1" s="2"/>
      <c r="P1" s="2"/>
      <c r="Q1" s="2"/>
      <c r="R1" s="2"/>
      <c r="S1" s="2"/>
      <c r="T1" s="3"/>
    </row>
    <row r="2" spans="1:21">
      <c r="A2" s="5" t="s">
        <v>336</v>
      </c>
      <c r="B2" s="6"/>
      <c r="C2" s="6"/>
      <c r="D2" s="6"/>
      <c r="E2" s="6"/>
      <c r="F2" s="6"/>
      <c r="G2" s="6"/>
      <c r="H2" s="6"/>
      <c r="I2" s="6"/>
      <c r="J2" s="6"/>
      <c r="K2" s="6"/>
      <c r="L2" s="6"/>
      <c r="M2" s="6"/>
      <c r="N2" s="6"/>
      <c r="O2" s="6"/>
      <c r="P2" s="6"/>
      <c r="Q2" s="6"/>
      <c r="R2" s="6"/>
      <c r="S2" s="6"/>
      <c r="T2" s="7"/>
    </row>
    <row r="3" spans="1:21">
      <c r="A3" s="8"/>
      <c r="B3" s="9"/>
      <c r="C3" s="60" t="s">
        <v>337</v>
      </c>
      <c r="D3" s="60"/>
      <c r="E3" s="9"/>
      <c r="F3" s="9"/>
      <c r="G3" s="9"/>
      <c r="H3" s="9"/>
      <c r="I3" s="9"/>
      <c r="J3" s="9"/>
      <c r="K3" s="9"/>
      <c r="L3" s="9"/>
      <c r="M3" s="9"/>
      <c r="N3" s="9"/>
      <c r="O3" s="9"/>
      <c r="P3" s="9"/>
      <c r="Q3" s="9"/>
      <c r="R3" s="9"/>
      <c r="S3" s="9"/>
      <c r="T3" s="10"/>
    </row>
    <row r="4" spans="1:21" s="12" customFormat="1" ht="17.25" customHeight="1">
      <c r="A4" s="11"/>
      <c r="B4" s="11"/>
      <c r="C4" s="11"/>
      <c r="D4" s="11"/>
      <c r="E4" s="11"/>
      <c r="F4" s="11"/>
      <c r="G4" s="11"/>
      <c r="H4" s="11"/>
      <c r="I4" s="11"/>
      <c r="J4" s="11"/>
      <c r="K4" s="11"/>
      <c r="L4" s="11"/>
      <c r="M4" s="11"/>
      <c r="N4" s="11"/>
      <c r="O4" s="11"/>
      <c r="P4" s="11"/>
      <c r="Q4" s="11"/>
      <c r="R4" s="11"/>
      <c r="S4" s="11"/>
      <c r="T4" s="11"/>
    </row>
    <row r="5" spans="1:21" ht="18" customHeight="1">
      <c r="A5" s="13" t="s">
        <v>3</v>
      </c>
      <c r="B5" s="136" t="s">
        <v>429</v>
      </c>
      <c r="C5" s="14"/>
      <c r="D5" s="14"/>
      <c r="E5" s="14"/>
      <c r="F5" s="14"/>
      <c r="G5" s="14"/>
      <c r="H5" s="14"/>
      <c r="I5" s="14"/>
      <c r="J5" s="14"/>
      <c r="K5" s="14"/>
      <c r="L5" s="14"/>
      <c r="M5" s="14"/>
      <c r="N5" s="14"/>
      <c r="O5" s="14"/>
      <c r="P5" s="14"/>
      <c r="Q5" s="14"/>
      <c r="R5" s="14"/>
      <c r="S5" s="14"/>
      <c r="T5" s="14"/>
      <c r="U5" s="15"/>
    </row>
    <row r="6" spans="1:21">
      <c r="A6" s="16" t="s">
        <v>373</v>
      </c>
      <c r="B6" s="17"/>
      <c r="C6" s="17"/>
      <c r="D6" s="17"/>
      <c r="E6" s="17"/>
      <c r="F6" s="17"/>
      <c r="G6" s="17"/>
      <c r="H6" s="17"/>
      <c r="I6" s="17"/>
      <c r="J6" s="17"/>
      <c r="K6" s="17"/>
      <c r="L6" s="17"/>
      <c r="M6" s="17"/>
      <c r="N6" s="17"/>
      <c r="O6" s="17"/>
      <c r="P6" s="17"/>
      <c r="Q6" s="17"/>
      <c r="R6" s="17"/>
      <c r="S6" s="17"/>
      <c r="T6" s="17"/>
      <c r="U6" s="18"/>
    </row>
    <row r="7" spans="1:21">
      <c r="A7" s="16" t="s">
        <v>374</v>
      </c>
      <c r="B7" s="17"/>
      <c r="C7" s="17"/>
      <c r="D7" s="17"/>
      <c r="E7" s="17"/>
      <c r="F7" s="17"/>
      <c r="G7" s="17"/>
      <c r="H7" s="17"/>
      <c r="I7" s="17"/>
      <c r="J7" s="17"/>
      <c r="K7" s="17"/>
      <c r="L7" s="17"/>
      <c r="M7" s="17"/>
      <c r="N7" s="17"/>
      <c r="O7" s="17"/>
      <c r="P7" s="17"/>
      <c r="Q7" s="17"/>
      <c r="R7" s="17"/>
      <c r="S7" s="17"/>
      <c r="T7" s="17"/>
      <c r="U7" s="18"/>
    </row>
    <row r="8" spans="1:21">
      <c r="A8" s="16" t="s">
        <v>375</v>
      </c>
      <c r="B8" s="17"/>
      <c r="C8" s="17"/>
      <c r="D8" s="17"/>
      <c r="E8" s="17"/>
      <c r="F8" s="17"/>
      <c r="G8" s="17"/>
      <c r="H8" s="17"/>
      <c r="I8" s="17"/>
      <c r="J8" s="17"/>
      <c r="K8" s="17"/>
      <c r="L8" s="17"/>
      <c r="M8" s="17"/>
      <c r="N8" s="17"/>
      <c r="O8" s="17"/>
      <c r="P8" s="17"/>
      <c r="Q8" s="17"/>
      <c r="R8" s="17"/>
      <c r="S8" s="17"/>
      <c r="T8" s="17"/>
      <c r="U8" s="18"/>
    </row>
    <row r="9" spans="1:21">
      <c r="A9" s="19" t="s">
        <v>376</v>
      </c>
      <c r="B9" s="20"/>
      <c r="C9" s="20"/>
      <c r="D9" s="20"/>
      <c r="E9" s="20"/>
      <c r="F9" s="20"/>
      <c r="G9" s="20"/>
      <c r="H9" s="20"/>
      <c r="I9" s="20"/>
      <c r="J9" s="20"/>
      <c r="K9" s="20"/>
      <c r="L9" s="20"/>
      <c r="M9" s="20"/>
      <c r="N9" s="20"/>
      <c r="O9" s="20"/>
      <c r="P9" s="20"/>
      <c r="Q9" s="20"/>
      <c r="R9" s="20"/>
      <c r="S9" s="20"/>
      <c r="T9" s="20"/>
      <c r="U9" s="21"/>
    </row>
    <row r="10" spans="1:21" s="12" customFormat="1" ht="17.25" customHeight="1">
      <c r="A10" s="22"/>
      <c r="B10" s="22"/>
      <c r="C10" s="22"/>
      <c r="D10" s="22"/>
      <c r="E10" s="22"/>
      <c r="F10" s="22"/>
      <c r="G10" s="22"/>
      <c r="H10" s="22"/>
      <c r="I10" s="4"/>
      <c r="J10" s="4"/>
      <c r="K10" s="22"/>
      <c r="L10" s="22"/>
      <c r="M10" s="22"/>
      <c r="N10" s="22"/>
      <c r="O10" s="22"/>
      <c r="P10" s="22"/>
      <c r="Q10" s="22"/>
      <c r="R10" s="22"/>
      <c r="S10" s="22"/>
      <c r="T10" s="22"/>
      <c r="U10" s="22"/>
    </row>
    <row r="11" spans="1:21" s="12" customFormat="1" ht="17.25" customHeight="1">
      <c r="A11" s="22"/>
      <c r="B11" s="22"/>
      <c r="C11" s="22"/>
      <c r="D11" s="22"/>
      <c r="E11" s="22"/>
      <c r="F11" s="22"/>
      <c r="G11" s="22"/>
      <c r="H11" s="22"/>
      <c r="I11" s="4"/>
      <c r="J11" s="4"/>
      <c r="K11" s="22"/>
      <c r="L11" s="12" t="s">
        <v>378</v>
      </c>
      <c r="M11" s="22"/>
      <c r="N11" s="22"/>
      <c r="O11" s="22"/>
      <c r="P11" s="22"/>
      <c r="Q11" s="22"/>
      <c r="R11" s="22"/>
      <c r="S11" s="22"/>
      <c r="T11" s="22"/>
      <c r="U11" s="22"/>
    </row>
    <row r="12" spans="1:21" s="12" customFormat="1" ht="17.25" customHeight="1">
      <c r="A12" s="4" t="s">
        <v>117</v>
      </c>
      <c r="B12" s="22" t="s">
        <v>350</v>
      </c>
      <c r="C12" s="253">
        <f>+C17/C13*1000</f>
        <v>20000</v>
      </c>
      <c r="E12" s="22">
        <v>23000</v>
      </c>
      <c r="F12" s="22"/>
      <c r="G12" s="64" t="s">
        <v>866</v>
      </c>
      <c r="H12" s="22"/>
      <c r="I12" s="4"/>
      <c r="J12" s="4"/>
      <c r="K12" s="22"/>
      <c r="L12" s="22" t="s">
        <v>350</v>
      </c>
      <c r="M12" s="22">
        <f>+C12</f>
        <v>20000</v>
      </c>
      <c r="N12" s="22"/>
      <c r="O12" s="22"/>
      <c r="P12" s="22"/>
      <c r="Q12" s="22"/>
      <c r="R12" s="22"/>
      <c r="S12" s="22"/>
      <c r="T12" s="22"/>
      <c r="U12" s="22"/>
    </row>
    <row r="13" spans="1:21">
      <c r="B13" s="4" t="s">
        <v>351</v>
      </c>
      <c r="C13" s="4">
        <v>16500</v>
      </c>
      <c r="E13" s="134">
        <v>17000</v>
      </c>
      <c r="F13" s="134">
        <v>18000</v>
      </c>
      <c r="G13" s="64" t="s">
        <v>866</v>
      </c>
      <c r="L13" s="12" t="s">
        <v>351</v>
      </c>
      <c r="M13" s="12">
        <v>15000</v>
      </c>
      <c r="N13" s="12"/>
    </row>
    <row r="14" spans="1:21">
      <c r="L14" s="12"/>
      <c r="M14" s="12"/>
      <c r="N14" s="12"/>
    </row>
    <row r="15" spans="1:21">
      <c r="B15" s="4" t="s">
        <v>338</v>
      </c>
      <c r="L15" s="12" t="s">
        <v>380</v>
      </c>
      <c r="M15" s="12"/>
      <c r="N15" s="12"/>
    </row>
    <row r="16" spans="1:21">
      <c r="C16" s="4" t="s">
        <v>341</v>
      </c>
      <c r="E16" s="4" t="s">
        <v>342</v>
      </c>
      <c r="F16" s="4" t="s">
        <v>343</v>
      </c>
      <c r="L16" s="12"/>
      <c r="M16" s="12"/>
      <c r="N16" s="12"/>
    </row>
    <row r="17" spans="1:14">
      <c r="A17" s="357" t="s">
        <v>870</v>
      </c>
      <c r="B17" s="4" t="s">
        <v>79</v>
      </c>
      <c r="C17" s="4">
        <v>330000</v>
      </c>
      <c r="E17" s="12">
        <f>+$E$12*E13/1000</f>
        <v>391000</v>
      </c>
      <c r="F17" s="12">
        <f>+$E$12*F13/1000</f>
        <v>414000</v>
      </c>
      <c r="G17" s="4" t="s">
        <v>354</v>
      </c>
      <c r="L17" s="12" t="s">
        <v>79</v>
      </c>
      <c r="M17" s="12"/>
      <c r="N17" s="12">
        <f>+M12*M13/1000</f>
        <v>300000</v>
      </c>
    </row>
    <row r="18" spans="1:14">
      <c r="B18" s="4" t="s">
        <v>101</v>
      </c>
      <c r="C18" s="33">
        <v>92400</v>
      </c>
      <c r="E18" s="356">
        <f>+E29</f>
        <v>95200</v>
      </c>
      <c r="F18" s="356">
        <f>+F29</f>
        <v>100800</v>
      </c>
      <c r="G18" s="4" t="s">
        <v>355</v>
      </c>
      <c r="L18" s="12" t="s">
        <v>344</v>
      </c>
      <c r="M18" s="12">
        <f>+M29</f>
        <v>84000</v>
      </c>
      <c r="N18" s="12"/>
    </row>
    <row r="19" spans="1:14">
      <c r="B19" s="4" t="s">
        <v>102</v>
      </c>
      <c r="C19" s="4">
        <f>+C17-C18</f>
        <v>237600</v>
      </c>
      <c r="E19" s="12">
        <f t="shared" ref="E19:F19" si="0">+E17-E18</f>
        <v>295800</v>
      </c>
      <c r="F19" s="12">
        <f t="shared" si="0"/>
        <v>313200</v>
      </c>
      <c r="L19" s="12" t="s">
        <v>345</v>
      </c>
      <c r="M19" s="356">
        <f>+M30</f>
        <v>39900</v>
      </c>
      <c r="N19" s="351">
        <f>+SUM(M18:M19)</f>
        <v>123900</v>
      </c>
    </row>
    <row r="20" spans="1:14">
      <c r="B20" s="4" t="s">
        <v>339</v>
      </c>
      <c r="C20" s="33">
        <v>251090</v>
      </c>
      <c r="E20" s="351">
        <f>+SUM(E30:E37)</f>
        <v>277070</v>
      </c>
      <c r="F20" s="351">
        <f>+SUM(F30:F37)</f>
        <v>279730</v>
      </c>
      <c r="L20" s="12" t="s">
        <v>84</v>
      </c>
      <c r="M20" s="12"/>
      <c r="N20" s="12">
        <f>+N17-N19</f>
        <v>176100</v>
      </c>
    </row>
    <row r="21" spans="1:14">
      <c r="B21" s="4" t="s">
        <v>104</v>
      </c>
      <c r="C21" s="4">
        <f>+C19-C20</f>
        <v>-13490</v>
      </c>
      <c r="E21" s="12">
        <f t="shared" ref="E21:F21" si="1">+E19-E20</f>
        <v>18730</v>
      </c>
      <c r="F21" s="12">
        <f t="shared" si="1"/>
        <v>33470</v>
      </c>
      <c r="L21" s="12" t="s">
        <v>85</v>
      </c>
      <c r="M21" s="356">
        <f>+SUM(M32:M37)</f>
        <v>188450</v>
      </c>
      <c r="N21" s="356">
        <f>+M21</f>
        <v>188450</v>
      </c>
    </row>
    <row r="22" spans="1:14" ht="16.8" thickBot="1">
      <c r="B22" s="4" t="s">
        <v>16</v>
      </c>
      <c r="C22" s="4">
        <v>500</v>
      </c>
      <c r="E22" s="12">
        <v>0</v>
      </c>
      <c r="F22" s="12">
        <v>0</v>
      </c>
      <c r="L22" s="12" t="s">
        <v>199</v>
      </c>
      <c r="M22" s="12"/>
      <c r="N22" s="360">
        <f>+N20-N21</f>
        <v>-12350</v>
      </c>
    </row>
    <row r="23" spans="1:14" ht="16.8" thickTop="1">
      <c r="B23" s="4" t="s">
        <v>19</v>
      </c>
      <c r="C23" s="33">
        <v>19160</v>
      </c>
      <c r="E23" s="358">
        <f>+C23+J41</f>
        <v>24360</v>
      </c>
      <c r="F23" s="358">
        <f>+E23</f>
        <v>24360</v>
      </c>
      <c r="L23" s="12"/>
      <c r="M23" s="12"/>
      <c r="N23" s="12"/>
    </row>
    <row r="24" spans="1:14">
      <c r="B24" s="4" t="s">
        <v>105</v>
      </c>
      <c r="C24" s="4">
        <f>+C21+C22-C23</f>
        <v>-32150</v>
      </c>
      <c r="E24" s="12">
        <f>+E21-E23</f>
        <v>-5630</v>
      </c>
      <c r="F24" s="12">
        <f>+F21-F23</f>
        <v>9110</v>
      </c>
      <c r="L24" s="12"/>
      <c r="M24" s="12"/>
      <c r="N24" s="12"/>
    </row>
    <row r="25" spans="1:14" ht="16.8" thickBot="1">
      <c r="B25" s="4" t="s">
        <v>340</v>
      </c>
      <c r="C25" s="125">
        <f>+C24</f>
        <v>-32150</v>
      </c>
      <c r="E25" s="125"/>
      <c r="F25" s="125"/>
      <c r="L25" s="12"/>
      <c r="M25" s="12"/>
      <c r="N25" s="12"/>
    </row>
    <row r="26" spans="1:14" ht="16.8" thickTop="1">
      <c r="L26" s="12"/>
      <c r="M26" s="12"/>
      <c r="N26" s="12"/>
    </row>
    <row r="27" spans="1:14">
      <c r="B27" s="352" t="s">
        <v>397</v>
      </c>
      <c r="C27" s="352"/>
      <c r="D27" s="352"/>
      <c r="E27" s="352"/>
      <c r="F27" s="352"/>
      <c r="I27" s="22"/>
      <c r="J27" s="22"/>
      <c r="L27" s="12"/>
      <c r="M27" s="12"/>
      <c r="N27" s="12"/>
    </row>
    <row r="28" spans="1:14">
      <c r="B28" s="359" t="s">
        <v>868</v>
      </c>
      <c r="I28" s="22"/>
      <c r="J28" s="22"/>
      <c r="L28" s="12"/>
      <c r="M28" s="12"/>
      <c r="N28" s="12"/>
    </row>
    <row r="29" spans="1:14">
      <c r="A29" s="357" t="s">
        <v>871</v>
      </c>
      <c r="B29" s="4" t="s">
        <v>344</v>
      </c>
      <c r="C29" s="4">
        <v>92400</v>
      </c>
      <c r="D29" s="122"/>
      <c r="E29" s="32">
        <f>+$C29*E$13/$C$13</f>
        <v>95200</v>
      </c>
      <c r="F29" s="32">
        <f>+$C29*F$13/$C$13</f>
        <v>100800</v>
      </c>
      <c r="G29" s="4" t="s">
        <v>355</v>
      </c>
      <c r="I29" s="22"/>
      <c r="J29" s="22"/>
      <c r="L29" s="12" t="s">
        <v>344</v>
      </c>
      <c r="M29" s="32">
        <f>+C29*M13/C13</f>
        <v>84000</v>
      </c>
      <c r="N29" s="12" t="s">
        <v>399</v>
      </c>
    </row>
    <row r="30" spans="1:14">
      <c r="A30" s="357"/>
      <c r="B30" s="4" t="s">
        <v>345</v>
      </c>
      <c r="C30" s="4">
        <v>43890</v>
      </c>
      <c r="D30" s="122"/>
      <c r="E30" s="32">
        <f>+$C30*E$13/$C$13</f>
        <v>45220</v>
      </c>
      <c r="F30" s="32">
        <f>+$C30*F$13/$C$13</f>
        <v>47880</v>
      </c>
      <c r="G30" s="4" t="s">
        <v>355</v>
      </c>
      <c r="L30" s="12" t="s">
        <v>345</v>
      </c>
      <c r="M30" s="32">
        <f>+C30*M13/C13</f>
        <v>39900</v>
      </c>
      <c r="N30" s="12" t="s">
        <v>399</v>
      </c>
    </row>
    <row r="31" spans="1:14">
      <c r="A31" s="50"/>
      <c r="B31" s="4" t="s">
        <v>869</v>
      </c>
      <c r="L31" s="12"/>
      <c r="M31" s="12"/>
      <c r="N31" s="12"/>
    </row>
    <row r="32" spans="1:14">
      <c r="A32" s="357" t="s">
        <v>872</v>
      </c>
      <c r="B32" s="4" t="s">
        <v>346</v>
      </c>
      <c r="C32" s="4">
        <v>40000</v>
      </c>
      <c r="E32" s="32">
        <f>+$C$32*1.1</f>
        <v>44000</v>
      </c>
      <c r="F32" s="32">
        <f>+$C$32*1.1</f>
        <v>44000</v>
      </c>
      <c r="G32" s="64" t="s">
        <v>356</v>
      </c>
      <c r="I32" s="357" t="s">
        <v>867</v>
      </c>
      <c r="J32" s="357"/>
      <c r="L32" s="12" t="s">
        <v>346</v>
      </c>
      <c r="M32" s="32">
        <f>+C32*0.7</f>
        <v>28000</v>
      </c>
      <c r="N32" s="12" t="s">
        <v>398</v>
      </c>
    </row>
    <row r="33" spans="1:14">
      <c r="A33" s="357"/>
      <c r="B33" s="4" t="s">
        <v>347</v>
      </c>
      <c r="C33" s="4">
        <v>6000</v>
      </c>
      <c r="E33" s="4">
        <f>+C33</f>
        <v>6000</v>
      </c>
      <c r="F33" s="4">
        <f>+E33</f>
        <v>6000</v>
      </c>
      <c r="G33" s="4" t="s">
        <v>357</v>
      </c>
      <c r="I33" s="4" t="s">
        <v>396</v>
      </c>
      <c r="L33" s="12" t="s">
        <v>347</v>
      </c>
      <c r="M33" s="12">
        <f t="shared" ref="M33:M35" si="2">+C33*0.7</f>
        <v>4200</v>
      </c>
      <c r="N33" s="12"/>
    </row>
    <row r="34" spans="1:14">
      <c r="A34" s="357"/>
      <c r="B34" s="4" t="s">
        <v>348</v>
      </c>
      <c r="C34" s="4">
        <v>6500</v>
      </c>
      <c r="E34" s="32">
        <f>+$C$34*1.1</f>
        <v>7150.0000000000009</v>
      </c>
      <c r="F34" s="32">
        <f>+$C$34*1.1</f>
        <v>7150.0000000000009</v>
      </c>
      <c r="G34" s="64" t="s">
        <v>356</v>
      </c>
      <c r="I34" s="4" t="s">
        <v>80</v>
      </c>
      <c r="J34" s="4">
        <v>180000</v>
      </c>
      <c r="L34" s="12" t="s">
        <v>348</v>
      </c>
      <c r="M34" s="32">
        <f t="shared" si="2"/>
        <v>4550</v>
      </c>
      <c r="N34" s="12"/>
    </row>
    <row r="35" spans="1:14">
      <c r="A35" s="357"/>
      <c r="B35" s="4" t="s">
        <v>349</v>
      </c>
      <c r="C35" s="4">
        <v>10000</v>
      </c>
      <c r="E35" s="32">
        <f>+$C$35*1.2</f>
        <v>12000</v>
      </c>
      <c r="F35" s="32">
        <f>+$C$35*1.2</f>
        <v>12000</v>
      </c>
      <c r="G35" s="64" t="s">
        <v>358</v>
      </c>
      <c r="I35" s="4" t="s">
        <v>59</v>
      </c>
      <c r="J35" s="4">
        <v>0</v>
      </c>
      <c r="L35" s="12" t="s">
        <v>349</v>
      </c>
      <c r="M35" s="32">
        <f t="shared" si="2"/>
        <v>7000</v>
      </c>
      <c r="N35" s="12"/>
    </row>
    <row r="36" spans="1:14">
      <c r="A36" s="357"/>
      <c r="B36" s="4" t="s">
        <v>204</v>
      </c>
      <c r="C36" s="4">
        <v>119300</v>
      </c>
      <c r="E36" s="4">
        <f>+C36</f>
        <v>119300</v>
      </c>
      <c r="F36" s="4">
        <f>+E36</f>
        <v>119300</v>
      </c>
      <c r="G36" s="4" t="s">
        <v>357</v>
      </c>
      <c r="I36" s="4" t="s">
        <v>158</v>
      </c>
      <c r="J36" s="4">
        <v>10</v>
      </c>
      <c r="L36" s="12" t="s">
        <v>204</v>
      </c>
      <c r="M36" s="12">
        <f>+C36</f>
        <v>119300</v>
      </c>
      <c r="N36" s="12" t="s">
        <v>400</v>
      </c>
    </row>
    <row r="37" spans="1:14">
      <c r="B37" s="4" t="s">
        <v>9</v>
      </c>
      <c r="C37" s="4">
        <v>25400</v>
      </c>
      <c r="E37" s="210">
        <f>+$C$37+J37</f>
        <v>43400</v>
      </c>
      <c r="F37" s="210">
        <f>+E37</f>
        <v>43400</v>
      </c>
      <c r="G37" s="4" t="s">
        <v>359</v>
      </c>
      <c r="I37" s="4" t="s">
        <v>60</v>
      </c>
      <c r="J37" s="210">
        <f>+J34/J36</f>
        <v>18000</v>
      </c>
      <c r="L37" s="12" t="s">
        <v>9</v>
      </c>
      <c r="M37" s="12">
        <f>+C37</f>
        <v>25400</v>
      </c>
      <c r="N37" s="12" t="s">
        <v>401</v>
      </c>
    </row>
    <row r="39" spans="1:14">
      <c r="I39" s="4" t="s">
        <v>352</v>
      </c>
      <c r="J39" s="4">
        <f>+J34-50000</f>
        <v>130000</v>
      </c>
    </row>
    <row r="40" spans="1:14">
      <c r="I40" s="4" t="s">
        <v>353</v>
      </c>
      <c r="J40" s="56">
        <v>0.04</v>
      </c>
    </row>
    <row r="41" spans="1:14">
      <c r="I41" s="4" t="s">
        <v>284</v>
      </c>
      <c r="J41" s="210">
        <f>+J39*J40</f>
        <v>5200</v>
      </c>
    </row>
    <row r="42" spans="1:14">
      <c r="A42" s="4" t="s">
        <v>118</v>
      </c>
      <c r="B42" s="4" t="s">
        <v>360</v>
      </c>
    </row>
    <row r="44" spans="1:14">
      <c r="A44" s="4" t="s">
        <v>180</v>
      </c>
      <c r="B44" s="374" t="s">
        <v>893</v>
      </c>
      <c r="C44" s="357"/>
      <c r="D44" s="357"/>
    </row>
    <row r="45" spans="1:14">
      <c r="D45" s="77" t="s">
        <v>50</v>
      </c>
      <c r="E45" s="44" t="s">
        <v>51</v>
      </c>
      <c r="F45" s="44" t="s">
        <v>361</v>
      </c>
      <c r="G45" s="44" t="s">
        <v>53</v>
      </c>
      <c r="H45" s="44" t="s">
        <v>362</v>
      </c>
      <c r="I45" s="44" t="s">
        <v>363</v>
      </c>
      <c r="J45" s="44" t="s">
        <v>364</v>
      </c>
      <c r="K45" s="44" t="s">
        <v>365</v>
      </c>
      <c r="L45" s="44" t="s">
        <v>366</v>
      </c>
      <c r="M45" s="44" t="s">
        <v>367</v>
      </c>
      <c r="N45" s="76" t="s">
        <v>368</v>
      </c>
    </row>
    <row r="46" spans="1:14">
      <c r="D46" s="73"/>
      <c r="E46" s="78"/>
      <c r="F46" s="78"/>
      <c r="G46" s="78"/>
      <c r="H46" s="78"/>
      <c r="I46" s="78"/>
      <c r="J46" s="78"/>
      <c r="K46" s="78"/>
      <c r="L46" s="78"/>
      <c r="M46" s="78"/>
      <c r="N46" s="71"/>
    </row>
    <row r="47" spans="1:14">
      <c r="C47" s="4" t="s">
        <v>225</v>
      </c>
      <c r="E47" s="34">
        <f>+E62</f>
        <v>37332</v>
      </c>
      <c r="F47" s="34">
        <f>+F62</f>
        <v>46176</v>
      </c>
      <c r="G47" s="34">
        <f>+F47</f>
        <v>46176</v>
      </c>
      <c r="H47" s="34">
        <f t="shared" ref="H47:N47" si="3">+G47</f>
        <v>46176</v>
      </c>
      <c r="I47" s="34">
        <f>+H47</f>
        <v>46176</v>
      </c>
      <c r="J47" s="34">
        <f t="shared" si="3"/>
        <v>46176</v>
      </c>
      <c r="K47" s="34">
        <f>+J47</f>
        <v>46176</v>
      </c>
      <c r="L47" s="34">
        <f t="shared" si="3"/>
        <v>46176</v>
      </c>
      <c r="M47" s="34">
        <f t="shared" si="3"/>
        <v>46176</v>
      </c>
      <c r="N47" s="34">
        <f t="shared" si="3"/>
        <v>46176</v>
      </c>
    </row>
    <row r="48" spans="1:14">
      <c r="C48" s="4" t="s">
        <v>370</v>
      </c>
      <c r="D48" s="4">
        <f>+J34</f>
        <v>180000</v>
      </c>
    </row>
    <row r="49" spans="2:17">
      <c r="C49" s="4" t="s">
        <v>372</v>
      </c>
      <c r="E49" s="124">
        <v>0.94299999999999995</v>
      </c>
      <c r="F49" s="124" t="s">
        <v>360</v>
      </c>
      <c r="G49" s="124"/>
      <c r="H49" s="124"/>
      <c r="I49" s="124"/>
      <c r="J49" s="124"/>
      <c r="K49" s="124"/>
      <c r="L49" s="124"/>
      <c r="M49" s="124"/>
      <c r="N49" s="124">
        <v>7.36</v>
      </c>
    </row>
    <row r="50" spans="2:17">
      <c r="E50" s="124"/>
      <c r="F50" s="353">
        <f>+N49-E49</f>
        <v>6.4170000000000007</v>
      </c>
      <c r="G50" s="354"/>
      <c r="H50" s="354"/>
      <c r="I50" s="354"/>
      <c r="J50" s="354"/>
      <c r="K50" s="354"/>
      <c r="L50" s="354"/>
      <c r="M50" s="354"/>
      <c r="N50" s="355"/>
    </row>
    <row r="51" spans="2:17">
      <c r="C51" s="4" t="s">
        <v>371</v>
      </c>
      <c r="D51" s="4">
        <f>-D48</f>
        <v>-180000</v>
      </c>
      <c r="E51" s="4">
        <f>+E47*E49</f>
        <v>35204.076000000001</v>
      </c>
      <c r="F51" s="4">
        <f>+F47*F50</f>
        <v>296311.39200000005</v>
      </c>
    </row>
    <row r="52" spans="2:17">
      <c r="C52" s="4" t="s">
        <v>177</v>
      </c>
      <c r="D52" s="34">
        <f>+SUM(D51:F51)</f>
        <v>151515.46800000005</v>
      </c>
      <c r="E52" s="4" t="s">
        <v>377</v>
      </c>
    </row>
    <row r="54" spans="2:17">
      <c r="B54" s="374" t="s">
        <v>894</v>
      </c>
      <c r="C54" s="357"/>
      <c r="D54" s="357"/>
      <c r="E54" s="4" t="s">
        <v>403</v>
      </c>
      <c r="G54" s="64" t="s">
        <v>895</v>
      </c>
    </row>
    <row r="55" spans="2:17">
      <c r="E55" s="4" t="s">
        <v>890</v>
      </c>
    </row>
    <row r="56" spans="2:17">
      <c r="B56" s="4" t="s">
        <v>199</v>
      </c>
      <c r="C56" s="4">
        <f>+C21</f>
        <v>-13490</v>
      </c>
      <c r="E56" s="4">
        <f>+E21-C56</f>
        <v>32220</v>
      </c>
      <c r="F56" s="4">
        <f>+F21-C56</f>
        <v>46960</v>
      </c>
      <c r="G56" s="4" t="s">
        <v>896</v>
      </c>
    </row>
    <row r="57" spans="2:17">
      <c r="B57" s="4" t="s">
        <v>878</v>
      </c>
      <c r="C57" s="56">
        <v>0.4</v>
      </c>
      <c r="E57" s="56">
        <f>+C57</f>
        <v>0.4</v>
      </c>
      <c r="F57" s="56">
        <f>+C57</f>
        <v>0.4</v>
      </c>
    </row>
    <row r="58" spans="2:17">
      <c r="B58" s="4" t="s">
        <v>9</v>
      </c>
      <c r="C58" s="4">
        <f>+C37</f>
        <v>25400</v>
      </c>
      <c r="E58" s="4">
        <f>+J37</f>
        <v>18000</v>
      </c>
      <c r="F58" s="4">
        <f>+E58</f>
        <v>18000</v>
      </c>
      <c r="G58" s="4" t="s">
        <v>896</v>
      </c>
    </row>
    <row r="59" spans="2:17">
      <c r="B59" s="4" t="s">
        <v>162</v>
      </c>
      <c r="C59" s="4" t="s">
        <v>888</v>
      </c>
      <c r="E59" s="4">
        <v>0</v>
      </c>
      <c r="F59" s="4">
        <v>0</v>
      </c>
      <c r="G59" s="4" t="s">
        <v>897</v>
      </c>
    </row>
    <row r="60" spans="2:17">
      <c r="B60" s="4" t="s">
        <v>370</v>
      </c>
      <c r="C60" s="4">
        <v>180000</v>
      </c>
      <c r="E60" s="4">
        <v>0</v>
      </c>
      <c r="F60" s="4">
        <v>0</v>
      </c>
    </row>
    <row r="62" spans="2:17">
      <c r="B62" s="4" t="s">
        <v>889</v>
      </c>
      <c r="E62" s="34">
        <f>+E56*(1-E57)+SUM(E58:E60)</f>
        <v>37332</v>
      </c>
      <c r="F62" s="34">
        <f>+F56*(1-F57)+SUM(F58:F60)</f>
        <v>46176</v>
      </c>
    </row>
    <row r="64" spans="2:17">
      <c r="B64" s="388" t="s">
        <v>891</v>
      </c>
      <c r="C64" s="375"/>
      <c r="D64" s="375"/>
      <c r="E64" s="375"/>
      <c r="F64" s="375"/>
      <c r="G64" s="375"/>
      <c r="H64" s="375"/>
      <c r="I64" s="375"/>
      <c r="J64" s="375"/>
      <c r="K64" s="375"/>
      <c r="L64" s="375"/>
      <c r="M64" s="375"/>
      <c r="N64" s="375"/>
      <c r="O64" s="375"/>
      <c r="P64" s="375"/>
      <c r="Q64" s="375"/>
    </row>
    <row r="65" spans="2:17">
      <c r="B65" s="375"/>
      <c r="C65" s="375" t="s">
        <v>341</v>
      </c>
      <c r="D65" s="375"/>
      <c r="E65" s="375" t="s">
        <v>404</v>
      </c>
      <c r="F65" s="375" t="s">
        <v>405</v>
      </c>
      <c r="G65" s="375"/>
      <c r="H65" s="375" t="s">
        <v>369</v>
      </c>
      <c r="I65" s="375" t="str">
        <f>+E16</f>
        <v>初年度(a)</v>
      </c>
      <c r="J65" s="375"/>
      <c r="K65" s="375"/>
      <c r="L65" s="375"/>
      <c r="M65" s="375"/>
      <c r="N65" s="375" t="str">
        <f>+F16</f>
        <v>2年目(b)</v>
      </c>
      <c r="O65" s="375"/>
      <c r="P65" s="375"/>
      <c r="Q65" s="375"/>
    </row>
    <row r="66" spans="2:17">
      <c r="B66" s="375" t="s">
        <v>79</v>
      </c>
      <c r="C66" s="375">
        <f>+C17</f>
        <v>330000</v>
      </c>
      <c r="D66" s="375"/>
      <c r="E66" s="375">
        <f>+E17-$C66</f>
        <v>61000</v>
      </c>
      <c r="F66" s="375">
        <f>+F17-$C66</f>
        <v>84000</v>
      </c>
      <c r="G66" s="375"/>
      <c r="H66" s="375"/>
      <c r="I66" s="376" t="s">
        <v>198</v>
      </c>
      <c r="J66" s="377"/>
      <c r="K66" s="376" t="s">
        <v>79</v>
      </c>
      <c r="L66" s="378"/>
      <c r="M66" s="375"/>
      <c r="N66" s="376" t="s">
        <v>198</v>
      </c>
      <c r="O66" s="377"/>
      <c r="P66" s="376" t="s">
        <v>79</v>
      </c>
      <c r="Q66" s="378"/>
    </row>
    <row r="67" spans="2:17">
      <c r="B67" s="375" t="s">
        <v>887</v>
      </c>
      <c r="C67" s="375"/>
      <c r="D67" s="375"/>
      <c r="E67" s="375"/>
      <c r="F67" s="375"/>
      <c r="G67" s="375"/>
      <c r="H67" s="375"/>
      <c r="I67" s="379"/>
      <c r="J67" s="380"/>
      <c r="K67" s="379"/>
      <c r="L67" s="381"/>
      <c r="M67" s="375"/>
      <c r="N67" s="379"/>
      <c r="O67" s="380"/>
      <c r="P67" s="379"/>
      <c r="Q67" s="381"/>
    </row>
    <row r="68" spans="2:17">
      <c r="B68" s="375" t="s">
        <v>344</v>
      </c>
      <c r="C68" s="375">
        <f>+C29</f>
        <v>92400</v>
      </c>
      <c r="D68" s="375"/>
      <c r="E68" s="382">
        <f>+E29-C68</f>
        <v>2800</v>
      </c>
      <c r="F68" s="382">
        <f>+F29-C68</f>
        <v>8400</v>
      </c>
      <c r="G68" s="375"/>
      <c r="H68" s="375"/>
      <c r="I68" s="379" t="str">
        <f>+B68</f>
        <v>変動売上原価</v>
      </c>
      <c r="J68" s="380">
        <f>+E68</f>
        <v>2800</v>
      </c>
      <c r="K68" s="379" t="s">
        <v>197</v>
      </c>
      <c r="L68" s="381">
        <f>+E66</f>
        <v>61000</v>
      </c>
      <c r="M68" s="375"/>
      <c r="N68" s="379" t="str">
        <f>+I68</f>
        <v>変動売上原価</v>
      </c>
      <c r="O68" s="380">
        <f>+F68</f>
        <v>8400</v>
      </c>
      <c r="P68" s="379" t="s">
        <v>197</v>
      </c>
      <c r="Q68" s="381">
        <f>+F66</f>
        <v>84000</v>
      </c>
    </row>
    <row r="69" spans="2:17">
      <c r="B69" s="375" t="s">
        <v>345</v>
      </c>
      <c r="C69" s="375">
        <f>+C30</f>
        <v>43890</v>
      </c>
      <c r="D69" s="375"/>
      <c r="E69" s="375">
        <f>+E30-$C69</f>
        <v>1330</v>
      </c>
      <c r="F69" s="375">
        <f>+F30-$C69</f>
        <v>3990</v>
      </c>
      <c r="G69" s="375"/>
      <c r="H69" s="375"/>
      <c r="I69" s="379" t="str">
        <f>+B69</f>
        <v>変動販売費</v>
      </c>
      <c r="J69" s="380">
        <f>+E69</f>
        <v>1330</v>
      </c>
      <c r="K69" s="379"/>
      <c r="L69" s="381"/>
      <c r="M69" s="375"/>
      <c r="N69" s="379" t="str">
        <f>+I69</f>
        <v>変動販売費</v>
      </c>
      <c r="O69" s="380">
        <f t="shared" ref="O69:O76" si="4">+F69</f>
        <v>3990</v>
      </c>
      <c r="P69" s="379"/>
      <c r="Q69" s="381"/>
    </row>
    <row r="70" spans="2:17">
      <c r="B70" s="375" t="s">
        <v>869</v>
      </c>
      <c r="C70" s="375"/>
      <c r="D70" s="375"/>
      <c r="E70" s="375"/>
      <c r="F70" s="375"/>
      <c r="G70" s="375"/>
      <c r="H70" s="375"/>
      <c r="I70" s="379"/>
      <c r="J70" s="380"/>
      <c r="K70" s="379"/>
      <c r="L70" s="381"/>
      <c r="M70" s="375"/>
      <c r="N70" s="379"/>
      <c r="O70" s="380"/>
      <c r="P70" s="379"/>
      <c r="Q70" s="381"/>
    </row>
    <row r="71" spans="2:17">
      <c r="B71" s="375" t="s">
        <v>346</v>
      </c>
      <c r="C71" s="375">
        <f t="shared" ref="C71:C76" si="5">+C32</f>
        <v>40000</v>
      </c>
      <c r="D71" s="375"/>
      <c r="E71" s="375">
        <f t="shared" ref="E71:F76" si="6">+E32-$C71</f>
        <v>4000</v>
      </c>
      <c r="F71" s="375">
        <f t="shared" si="6"/>
        <v>4000</v>
      </c>
      <c r="G71" s="375"/>
      <c r="H71" s="375"/>
      <c r="I71" s="379" t="str">
        <f>+B71</f>
        <v>水道光熱費</v>
      </c>
      <c r="J71" s="380">
        <f t="shared" ref="J71:J76" si="7">+E71</f>
        <v>4000</v>
      </c>
      <c r="K71" s="379"/>
      <c r="L71" s="381"/>
      <c r="M71" s="375"/>
      <c r="N71" s="379" t="str">
        <f t="shared" ref="N71:N76" si="8">+I71</f>
        <v>水道光熱費</v>
      </c>
      <c r="O71" s="380">
        <f t="shared" si="4"/>
        <v>4000</v>
      </c>
      <c r="P71" s="379"/>
      <c r="Q71" s="381"/>
    </row>
    <row r="72" spans="2:17">
      <c r="B72" s="375" t="s">
        <v>347</v>
      </c>
      <c r="C72" s="375">
        <f t="shared" si="5"/>
        <v>6000</v>
      </c>
      <c r="D72" s="375"/>
      <c r="E72" s="375">
        <f t="shared" si="6"/>
        <v>0</v>
      </c>
      <c r="F72" s="375">
        <f t="shared" si="6"/>
        <v>0</v>
      </c>
      <c r="G72" s="375"/>
      <c r="H72" s="375"/>
      <c r="I72" s="379" t="str">
        <f>+B72</f>
        <v>事務通信費</v>
      </c>
      <c r="J72" s="380">
        <f t="shared" si="7"/>
        <v>0</v>
      </c>
      <c r="K72" s="379"/>
      <c r="L72" s="381"/>
      <c r="M72" s="375"/>
      <c r="N72" s="379" t="str">
        <f t="shared" si="8"/>
        <v>事務通信費</v>
      </c>
      <c r="O72" s="380">
        <f t="shared" si="4"/>
        <v>0</v>
      </c>
      <c r="P72" s="379"/>
      <c r="Q72" s="381"/>
    </row>
    <row r="73" spans="2:17">
      <c r="B73" s="375" t="s">
        <v>348</v>
      </c>
      <c r="C73" s="375">
        <f t="shared" si="5"/>
        <v>6500</v>
      </c>
      <c r="D73" s="375"/>
      <c r="E73" s="375">
        <f t="shared" si="6"/>
        <v>650.00000000000091</v>
      </c>
      <c r="F73" s="375">
        <f t="shared" si="6"/>
        <v>650.00000000000091</v>
      </c>
      <c r="G73" s="375"/>
      <c r="H73" s="375"/>
      <c r="I73" s="379" t="str">
        <f>+B73</f>
        <v>広告宣伝費</v>
      </c>
      <c r="J73" s="380">
        <f t="shared" si="7"/>
        <v>650.00000000000091</v>
      </c>
      <c r="K73" s="379"/>
      <c r="L73" s="381"/>
      <c r="M73" s="375"/>
      <c r="N73" s="379" t="str">
        <f t="shared" si="8"/>
        <v>広告宣伝費</v>
      </c>
      <c r="O73" s="380">
        <f t="shared" si="4"/>
        <v>650.00000000000091</v>
      </c>
      <c r="P73" s="379"/>
      <c r="Q73" s="381"/>
    </row>
    <row r="74" spans="2:17">
      <c r="B74" s="375" t="s">
        <v>349</v>
      </c>
      <c r="C74" s="375">
        <f t="shared" si="5"/>
        <v>10000</v>
      </c>
      <c r="D74" s="375"/>
      <c r="E74" s="375">
        <f t="shared" si="6"/>
        <v>2000</v>
      </c>
      <c r="F74" s="375">
        <f t="shared" si="6"/>
        <v>2000</v>
      </c>
      <c r="G74" s="375"/>
      <c r="H74" s="375"/>
      <c r="I74" s="379" t="str">
        <f>+B74</f>
        <v>設備保守点検・修繕費</v>
      </c>
      <c r="J74" s="380">
        <f t="shared" si="7"/>
        <v>2000</v>
      </c>
      <c r="K74" s="379"/>
      <c r="L74" s="381"/>
      <c r="M74" s="375"/>
      <c r="N74" s="379" t="str">
        <f t="shared" si="8"/>
        <v>設備保守点検・修繕費</v>
      </c>
      <c r="O74" s="380">
        <f t="shared" si="4"/>
        <v>2000</v>
      </c>
      <c r="P74" s="379"/>
      <c r="Q74" s="381"/>
    </row>
    <row r="75" spans="2:17">
      <c r="B75" s="375" t="s">
        <v>204</v>
      </c>
      <c r="C75" s="375">
        <f t="shared" si="5"/>
        <v>119300</v>
      </c>
      <c r="D75" s="375"/>
      <c r="E75" s="375">
        <f t="shared" si="6"/>
        <v>0</v>
      </c>
      <c r="F75" s="375">
        <f t="shared" si="6"/>
        <v>0</v>
      </c>
      <c r="G75" s="375"/>
      <c r="H75" s="375"/>
      <c r="I75" s="379" t="str">
        <f>+B75</f>
        <v>人件費</v>
      </c>
      <c r="J75" s="380">
        <f t="shared" si="7"/>
        <v>0</v>
      </c>
      <c r="K75" s="379"/>
      <c r="L75" s="381"/>
      <c r="M75" s="375"/>
      <c r="N75" s="379" t="str">
        <f t="shared" si="8"/>
        <v>人件費</v>
      </c>
      <c r="O75" s="380">
        <f t="shared" si="4"/>
        <v>0</v>
      </c>
      <c r="P75" s="379"/>
      <c r="Q75" s="381"/>
    </row>
    <row r="76" spans="2:17">
      <c r="B76" s="375" t="s">
        <v>9</v>
      </c>
      <c r="C76" s="375">
        <f t="shared" si="5"/>
        <v>25400</v>
      </c>
      <c r="D76" s="375"/>
      <c r="E76" s="375">
        <f t="shared" si="6"/>
        <v>18000</v>
      </c>
      <c r="F76" s="375">
        <f t="shared" si="6"/>
        <v>18000</v>
      </c>
      <c r="G76" s="375"/>
      <c r="H76" s="375"/>
      <c r="I76" s="376" t="s">
        <v>9</v>
      </c>
      <c r="J76" s="378">
        <f t="shared" si="7"/>
        <v>18000</v>
      </c>
      <c r="K76" s="379"/>
      <c r="L76" s="381"/>
      <c r="M76" s="375"/>
      <c r="N76" s="376" t="str">
        <f t="shared" si="8"/>
        <v>減価償却費</v>
      </c>
      <c r="O76" s="378">
        <f t="shared" si="4"/>
        <v>18000</v>
      </c>
      <c r="P76" s="379"/>
      <c r="Q76" s="381"/>
    </row>
    <row r="77" spans="2:17">
      <c r="B77" s="375"/>
      <c r="C77" s="375"/>
      <c r="D77" s="375"/>
      <c r="E77" s="375"/>
      <c r="F77" s="375"/>
      <c r="G77" s="375"/>
      <c r="H77" s="375"/>
      <c r="I77" s="383"/>
      <c r="J77" s="384"/>
      <c r="K77" s="379"/>
      <c r="L77" s="381"/>
      <c r="M77" s="375"/>
      <c r="N77" s="383"/>
      <c r="O77" s="384"/>
      <c r="P77" s="379"/>
      <c r="Q77" s="381"/>
    </row>
    <row r="78" spans="2:17">
      <c r="B78" s="375" t="s">
        <v>886</v>
      </c>
      <c r="C78" s="375">
        <f>+C66-SUM(C68:C76)</f>
        <v>-13490</v>
      </c>
      <c r="D78" s="375"/>
      <c r="E78" s="375">
        <f t="shared" ref="E78:F78" si="9">+E66-SUM(E68:E76)</f>
        <v>32220</v>
      </c>
      <c r="F78" s="375">
        <f t="shared" si="9"/>
        <v>46960</v>
      </c>
      <c r="G78" s="375"/>
      <c r="H78" s="375"/>
      <c r="I78" s="379" t="s">
        <v>199</v>
      </c>
      <c r="J78" s="385">
        <f>+L68-SUM(J68:J76)</f>
        <v>32220</v>
      </c>
      <c r="K78" s="379"/>
      <c r="L78" s="381"/>
      <c r="M78" s="375"/>
      <c r="N78" s="379" t="s">
        <v>199</v>
      </c>
      <c r="O78" s="385">
        <f>+Q68-SUM(O68:O76)</f>
        <v>46960</v>
      </c>
      <c r="P78" s="379"/>
      <c r="Q78" s="381"/>
    </row>
    <row r="79" spans="2:17">
      <c r="B79" s="375"/>
      <c r="C79" s="375"/>
      <c r="D79" s="375"/>
      <c r="E79" s="375"/>
      <c r="F79" s="375"/>
      <c r="G79" s="375"/>
      <c r="H79" s="375"/>
      <c r="I79" s="379" t="s">
        <v>201</v>
      </c>
      <c r="J79" s="386" t="s">
        <v>200</v>
      </c>
      <c r="K79" s="379"/>
      <c r="L79" s="381"/>
      <c r="M79" s="375"/>
      <c r="N79" s="379" t="s">
        <v>201</v>
      </c>
      <c r="O79" s="386" t="s">
        <v>200</v>
      </c>
      <c r="P79" s="379"/>
      <c r="Q79" s="381"/>
    </row>
    <row r="80" spans="2:17">
      <c r="B80" s="375"/>
      <c r="C80" s="375"/>
      <c r="D80" s="375"/>
      <c r="E80" s="375"/>
      <c r="F80" s="375"/>
      <c r="G80" s="375"/>
      <c r="H80" s="375"/>
      <c r="I80" s="383">
        <f>+J78*0.6</f>
        <v>19332</v>
      </c>
      <c r="J80" s="387">
        <f>+J78*0.4</f>
        <v>12888</v>
      </c>
      <c r="K80" s="383"/>
      <c r="L80" s="384"/>
      <c r="M80" s="375"/>
      <c r="N80" s="383">
        <f>+O78*0.6</f>
        <v>28176</v>
      </c>
      <c r="O80" s="387">
        <f>+O78*0.4</f>
        <v>18784</v>
      </c>
      <c r="P80" s="383"/>
      <c r="Q80" s="384"/>
    </row>
    <row r="81" spans="1:21">
      <c r="B81" s="375"/>
      <c r="C81" s="375"/>
      <c r="D81" s="375"/>
      <c r="E81" s="375"/>
      <c r="F81" s="375"/>
      <c r="G81" s="375"/>
      <c r="H81" s="375" t="s">
        <v>225</v>
      </c>
      <c r="I81" s="34">
        <f>+J76+I80</f>
        <v>37332</v>
      </c>
      <c r="J81" s="375"/>
      <c r="K81" s="375"/>
      <c r="L81" s="375"/>
      <c r="M81" s="375"/>
      <c r="N81" s="34">
        <f>+O76+N80</f>
        <v>46176</v>
      </c>
      <c r="O81" s="375"/>
      <c r="P81" s="375"/>
      <c r="Q81" s="375"/>
    </row>
    <row r="83" spans="1:21" ht="18" customHeight="1">
      <c r="A83" s="13" t="s">
        <v>100</v>
      </c>
      <c r="B83" s="136" t="s">
        <v>402</v>
      </c>
      <c r="C83" s="14"/>
      <c r="D83" s="14"/>
      <c r="E83" s="14"/>
      <c r="F83" s="14"/>
      <c r="G83" s="14"/>
      <c r="H83" s="14"/>
      <c r="I83" s="14"/>
      <c r="J83" s="14"/>
      <c r="K83" s="14"/>
      <c r="L83" s="14"/>
      <c r="M83" s="14"/>
      <c r="N83" s="14"/>
      <c r="O83" s="14"/>
      <c r="P83" s="14"/>
      <c r="Q83" s="14"/>
      <c r="R83" s="14"/>
      <c r="S83" s="14"/>
      <c r="T83" s="14"/>
      <c r="U83" s="15"/>
    </row>
    <row r="84" spans="1:21">
      <c r="A84" s="16" t="s">
        <v>390</v>
      </c>
      <c r="B84" s="17"/>
      <c r="C84" s="17"/>
      <c r="D84" s="17"/>
      <c r="E84" s="17"/>
      <c r="F84" s="17"/>
      <c r="G84" s="17"/>
      <c r="H84" s="17"/>
      <c r="I84" s="17"/>
      <c r="J84" s="17"/>
      <c r="K84" s="17"/>
      <c r="L84" s="17"/>
      <c r="M84" s="17"/>
      <c r="N84" s="17"/>
      <c r="O84" s="17"/>
      <c r="P84" s="17"/>
      <c r="Q84" s="17"/>
      <c r="R84" s="17"/>
      <c r="S84" s="17"/>
      <c r="T84" s="17"/>
      <c r="U84" s="18"/>
    </row>
    <row r="85" spans="1:21">
      <c r="A85" s="19" t="s">
        <v>391</v>
      </c>
      <c r="B85" s="20"/>
      <c r="C85" s="20"/>
      <c r="D85" s="20"/>
      <c r="E85" s="20"/>
      <c r="F85" s="20"/>
      <c r="G85" s="20"/>
      <c r="H85" s="20"/>
      <c r="I85" s="20"/>
      <c r="J85" s="20"/>
      <c r="K85" s="20"/>
      <c r="L85" s="20"/>
      <c r="M85" s="20"/>
      <c r="N85" s="20"/>
      <c r="O85" s="20"/>
      <c r="P85" s="20"/>
      <c r="Q85" s="20"/>
      <c r="R85" s="20"/>
      <c r="S85" s="20"/>
      <c r="T85" s="20"/>
      <c r="U85" s="21"/>
    </row>
    <row r="87" spans="1:21">
      <c r="B87" s="4" t="s">
        <v>379</v>
      </c>
    </row>
    <row r="88" spans="1:21">
      <c r="B88" s="12" t="s">
        <v>381</v>
      </c>
      <c r="C88" s="22"/>
      <c r="D88" s="22"/>
    </row>
    <row r="89" spans="1:21">
      <c r="B89" s="12"/>
      <c r="C89" s="12"/>
      <c r="D89" s="12"/>
    </row>
    <row r="90" spans="1:21">
      <c r="B90" s="12" t="str">
        <f t="shared" ref="B90:B95" si="10">+L17</f>
        <v>売上高</v>
      </c>
      <c r="C90" s="12"/>
      <c r="D90" s="12">
        <f>+N17</f>
        <v>300000</v>
      </c>
    </row>
    <row r="91" spans="1:21">
      <c r="B91" s="12" t="str">
        <f t="shared" si="10"/>
        <v>変動売上原価</v>
      </c>
      <c r="C91" s="12">
        <f>+M18</f>
        <v>84000</v>
      </c>
      <c r="D91" s="12"/>
    </row>
    <row r="92" spans="1:21">
      <c r="B92" s="12" t="str">
        <f t="shared" si="10"/>
        <v>変動販売費</v>
      </c>
      <c r="C92" s="356">
        <f>+M19</f>
        <v>39900</v>
      </c>
      <c r="D92" s="356">
        <f>+SUM(C91:C92)</f>
        <v>123900</v>
      </c>
      <c r="E92" s="123"/>
    </row>
    <row r="93" spans="1:21">
      <c r="B93" s="12" t="str">
        <f t="shared" si="10"/>
        <v>限界利益</v>
      </c>
      <c r="C93" s="12"/>
      <c r="D93" s="12">
        <f>+D90-D92</f>
        <v>176100</v>
      </c>
      <c r="E93" s="56">
        <f>+D93/D90</f>
        <v>0.58699999999999997</v>
      </c>
      <c r="N93" s="361"/>
    </row>
    <row r="94" spans="1:21">
      <c r="B94" s="12" t="str">
        <f t="shared" si="10"/>
        <v>固定費</v>
      </c>
      <c r="C94" s="356">
        <f>+M21</f>
        <v>188450</v>
      </c>
      <c r="D94" s="356">
        <f>+C94</f>
        <v>188450</v>
      </c>
    </row>
    <row r="95" spans="1:21" ht="16.8" thickBot="1">
      <c r="B95" s="12" t="str">
        <f t="shared" si="10"/>
        <v>営業利益</v>
      </c>
      <c r="C95" s="12"/>
      <c r="D95" s="360">
        <f>+D93-D94</f>
        <v>-12350</v>
      </c>
    </row>
    <row r="96" spans="1:21" ht="16.8" thickTop="1">
      <c r="B96" s="12"/>
      <c r="C96" s="12"/>
      <c r="D96" s="12"/>
    </row>
    <row r="98" spans="1:21">
      <c r="A98" s="4" t="s">
        <v>117</v>
      </c>
    </row>
    <row r="99" spans="1:21">
      <c r="B99" s="50" t="s">
        <v>138</v>
      </c>
      <c r="C99" s="34">
        <f>+D94/E93</f>
        <v>321039.18228279386</v>
      </c>
      <c r="D99" s="4" t="s">
        <v>383</v>
      </c>
    </row>
    <row r="100" spans="1:21">
      <c r="B100" s="50" t="s">
        <v>382</v>
      </c>
      <c r="C100" s="132">
        <f>+C99/D90</f>
        <v>1.0701306076093129</v>
      </c>
    </row>
    <row r="102" spans="1:21">
      <c r="A102" s="4" t="s">
        <v>118</v>
      </c>
      <c r="B102" s="4" t="s">
        <v>384</v>
      </c>
    </row>
    <row r="104" spans="1:21">
      <c r="B104" s="4" t="s">
        <v>385</v>
      </c>
    </row>
    <row r="105" spans="1:21">
      <c r="C105" s="4" t="s">
        <v>85</v>
      </c>
      <c r="D105" s="4" t="s">
        <v>387</v>
      </c>
      <c r="E105" s="4" t="s">
        <v>130</v>
      </c>
      <c r="F105" s="4" t="s">
        <v>388</v>
      </c>
      <c r="G105" s="4" t="s">
        <v>138</v>
      </c>
    </row>
    <row r="106" spans="1:21">
      <c r="C106" s="4" t="s">
        <v>386</v>
      </c>
      <c r="E106" s="56">
        <f>+E93</f>
        <v>0.58699999999999997</v>
      </c>
      <c r="G106" s="4">
        <f>+D90*0.9</f>
        <v>270000</v>
      </c>
    </row>
    <row r="107" spans="1:21">
      <c r="E107" s="4" t="s">
        <v>386</v>
      </c>
      <c r="F107" s="4" t="s">
        <v>388</v>
      </c>
      <c r="G107" s="32">
        <f>+G106*E106</f>
        <v>158490</v>
      </c>
    </row>
    <row r="109" spans="1:21">
      <c r="E109" s="4" t="s">
        <v>389</v>
      </c>
      <c r="G109" s="34">
        <f>+C94-G107</f>
        <v>29960</v>
      </c>
      <c r="H109" s="4" t="s">
        <v>383</v>
      </c>
    </row>
    <row r="111" spans="1:21" ht="18" customHeight="1">
      <c r="A111" s="13" t="s">
        <v>312</v>
      </c>
      <c r="B111" s="136" t="s">
        <v>449</v>
      </c>
      <c r="C111" s="14"/>
      <c r="D111" s="14"/>
      <c r="E111" s="14"/>
      <c r="F111" s="14"/>
      <c r="G111" s="14"/>
      <c r="H111" s="14"/>
      <c r="I111" s="14"/>
      <c r="J111" s="14"/>
      <c r="K111" s="14"/>
      <c r="L111" s="14"/>
      <c r="M111" s="14"/>
      <c r="N111" s="14"/>
      <c r="O111" s="14"/>
      <c r="P111" s="14"/>
      <c r="Q111" s="14"/>
      <c r="R111" s="14"/>
      <c r="S111" s="14"/>
      <c r="T111" s="14"/>
      <c r="U111" s="15"/>
    </row>
    <row r="112" spans="1:21">
      <c r="A112" s="16" t="s">
        <v>392</v>
      </c>
      <c r="B112" s="17"/>
      <c r="C112" s="17"/>
      <c r="D112" s="17"/>
      <c r="E112" s="17"/>
      <c r="F112" s="17"/>
      <c r="G112" s="17"/>
      <c r="H112" s="17"/>
      <c r="I112" s="17"/>
      <c r="J112" s="17"/>
      <c r="K112" s="17"/>
      <c r="L112" s="17"/>
      <c r="M112" s="17"/>
      <c r="N112" s="17"/>
      <c r="O112" s="17"/>
      <c r="P112" s="17"/>
      <c r="Q112" s="17"/>
      <c r="R112" s="17"/>
      <c r="S112" s="17"/>
      <c r="T112" s="17"/>
      <c r="U112" s="18"/>
    </row>
    <row r="113" spans="1:21">
      <c r="A113" s="19" t="s">
        <v>881</v>
      </c>
      <c r="B113" s="20"/>
      <c r="C113" s="20"/>
      <c r="D113" s="20"/>
      <c r="E113" s="20"/>
      <c r="F113" s="20"/>
      <c r="G113" s="20"/>
      <c r="H113" s="20"/>
      <c r="I113" s="20"/>
      <c r="J113" s="20"/>
      <c r="K113" s="20"/>
      <c r="L113" s="20"/>
      <c r="M113" s="20"/>
      <c r="N113" s="20"/>
      <c r="O113" s="20"/>
      <c r="P113" s="20"/>
      <c r="Q113" s="20"/>
      <c r="R113" s="20"/>
      <c r="S113" s="20"/>
      <c r="T113" s="20"/>
      <c r="U113" s="21"/>
    </row>
    <row r="115" spans="1:21">
      <c r="A115" s="4" t="s">
        <v>117</v>
      </c>
      <c r="B115" s="374" t="s">
        <v>882</v>
      </c>
      <c r="C115" s="357"/>
      <c r="D115" s="373"/>
      <c r="J115" s="374" t="s">
        <v>885</v>
      </c>
      <c r="K115" s="357"/>
      <c r="L115" s="357"/>
    </row>
    <row r="116" spans="1:21">
      <c r="C116" s="4" t="s">
        <v>199</v>
      </c>
      <c r="D116" s="4" t="s">
        <v>874</v>
      </c>
      <c r="E116" s="63" t="s">
        <v>875</v>
      </c>
      <c r="F116" s="4" t="s">
        <v>876</v>
      </c>
      <c r="G116" s="4" t="s">
        <v>877</v>
      </c>
    </row>
    <row r="117" spans="1:21">
      <c r="B117" s="4" t="s">
        <v>873</v>
      </c>
      <c r="C117" s="372">
        <f>+D127</f>
        <v>2510</v>
      </c>
      <c r="D117" s="56">
        <f>1-I121</f>
        <v>0.6</v>
      </c>
      <c r="E117" s="4">
        <f>+C37</f>
        <v>25400</v>
      </c>
      <c r="F117" s="4">
        <v>0</v>
      </c>
      <c r="G117" s="131">
        <v>0</v>
      </c>
      <c r="H117" s="108">
        <f>+SUM(C117*D117,E117,F117,G117)</f>
        <v>26906</v>
      </c>
      <c r="I117" s="131"/>
      <c r="J117" s="435" t="s">
        <v>879</v>
      </c>
      <c r="K117" s="4" t="s">
        <v>880</v>
      </c>
      <c r="L117" s="4">
        <f>+H117</f>
        <v>26906</v>
      </c>
      <c r="M117" s="451">
        <f>+L117/L118</f>
        <v>921438.35616438359</v>
      </c>
    </row>
    <row r="118" spans="1:21">
      <c r="G118" s="131"/>
      <c r="H118" s="131"/>
      <c r="I118" s="131"/>
      <c r="J118" s="435"/>
      <c r="K118" s="4" t="s">
        <v>395</v>
      </c>
      <c r="L118" s="123">
        <f>+L127</f>
        <v>2.92E-2</v>
      </c>
      <c r="M118" s="451"/>
    </row>
    <row r="119" spans="1:21">
      <c r="G119" s="131"/>
      <c r="H119" s="131"/>
      <c r="I119" s="131"/>
      <c r="J119" s="362"/>
      <c r="L119" s="123"/>
      <c r="M119" s="123"/>
    </row>
    <row r="120" spans="1:21">
      <c r="B120" s="374" t="s">
        <v>883</v>
      </c>
      <c r="C120" s="357"/>
      <c r="D120" s="357"/>
      <c r="H120" s="374" t="s">
        <v>884</v>
      </c>
      <c r="I120" s="357"/>
      <c r="J120" s="357"/>
    </row>
    <row r="121" spans="1:21">
      <c r="C121" s="50" t="s">
        <v>394</v>
      </c>
      <c r="D121" s="4">
        <v>16000</v>
      </c>
      <c r="H121" s="4" t="s">
        <v>878</v>
      </c>
      <c r="I121" s="56">
        <v>0.4</v>
      </c>
    </row>
    <row r="122" spans="1:21">
      <c r="C122" s="4" t="s">
        <v>341</v>
      </c>
      <c r="D122" s="4" t="s">
        <v>393</v>
      </c>
    </row>
    <row r="123" spans="1:21">
      <c r="B123" s="4" t="s">
        <v>79</v>
      </c>
      <c r="C123" s="4">
        <v>330000</v>
      </c>
      <c r="D123" s="363">
        <f>+C123</f>
        <v>330000</v>
      </c>
      <c r="H123" s="71"/>
      <c r="I123" s="71" t="s">
        <v>39</v>
      </c>
      <c r="J123" s="73">
        <v>458300</v>
      </c>
      <c r="K123" s="122">
        <v>0.04</v>
      </c>
      <c r="L123" s="122">
        <f>+K123*0.6</f>
        <v>2.4E-2</v>
      </c>
    </row>
    <row r="124" spans="1:21">
      <c r="B124" s="4" t="s">
        <v>101</v>
      </c>
      <c r="C124" s="33">
        <v>92400</v>
      </c>
      <c r="D124" s="366">
        <f>+C124</f>
        <v>92400</v>
      </c>
      <c r="H124" s="74"/>
      <c r="I124" s="76"/>
      <c r="J124" s="77"/>
      <c r="K124" s="133"/>
      <c r="L124" s="133"/>
    </row>
    <row r="125" spans="1:21">
      <c r="B125" s="4" t="s">
        <v>102</v>
      </c>
      <c r="C125" s="4">
        <f>+C123-C124</f>
        <v>237600</v>
      </c>
      <c r="D125" s="4">
        <f>+D123-D124</f>
        <v>237600</v>
      </c>
      <c r="H125" s="74"/>
      <c r="I125" s="71" t="s">
        <v>45</v>
      </c>
      <c r="J125" s="73">
        <v>114575</v>
      </c>
      <c r="K125" s="122">
        <v>0.05</v>
      </c>
      <c r="L125" s="133"/>
    </row>
    <row r="126" spans="1:21">
      <c r="B126" s="4" t="s">
        <v>339</v>
      </c>
      <c r="C126" s="33">
        <v>251090</v>
      </c>
      <c r="D126" s="367">
        <f>+C126-D121</f>
        <v>235090</v>
      </c>
      <c r="H126" s="76"/>
      <c r="I126" s="76"/>
      <c r="J126" s="77"/>
    </row>
    <row r="127" spans="1:21" ht="16.8" thickBot="1">
      <c r="B127" s="4" t="s">
        <v>104</v>
      </c>
      <c r="C127" s="4">
        <f>+C125-C126</f>
        <v>-13490</v>
      </c>
      <c r="D127" s="371">
        <f>+D125-D126</f>
        <v>2510</v>
      </c>
      <c r="K127" s="4" t="s">
        <v>395</v>
      </c>
      <c r="L127" s="135">
        <f>+(J123*L123+J125*K125)/SUM(J123:J125)</f>
        <v>2.92E-2</v>
      </c>
    </row>
    <row r="128" spans="1:21" ht="16.8" thickTop="1">
      <c r="B128" s="4" t="s">
        <v>16</v>
      </c>
      <c r="C128" s="4">
        <v>500</v>
      </c>
      <c r="D128" s="126"/>
    </row>
    <row r="129" spans="2:9">
      <c r="B129" s="4" t="s">
        <v>19</v>
      </c>
      <c r="C129" s="33">
        <v>19160</v>
      </c>
      <c r="D129" s="126"/>
    </row>
    <row r="130" spans="2:9">
      <c r="B130" s="4" t="s">
        <v>105</v>
      </c>
      <c r="C130" s="4">
        <f>+C127+C128-C129</f>
        <v>-32150</v>
      </c>
      <c r="D130" s="126"/>
    </row>
    <row r="131" spans="2:9" ht="16.8" thickBot="1">
      <c r="B131" s="4" t="s">
        <v>340</v>
      </c>
      <c r="C131" s="125">
        <f>+C130</f>
        <v>-32150</v>
      </c>
      <c r="D131" s="126"/>
    </row>
    <row r="132" spans="2:9" ht="16.8" thickTop="1"/>
    <row r="133" spans="2:9">
      <c r="G133" s="131"/>
      <c r="H133" s="131"/>
      <c r="I133" s="131"/>
    </row>
    <row r="134" spans="2:9">
      <c r="B134" s="388" t="s">
        <v>892</v>
      </c>
      <c r="C134" s="375"/>
      <c r="D134" s="375"/>
      <c r="E134" s="375"/>
      <c r="F134" s="375"/>
      <c r="G134" s="380"/>
      <c r="H134" s="380"/>
      <c r="I134" s="131"/>
    </row>
    <row r="135" spans="2:9">
      <c r="B135" s="375"/>
      <c r="C135" s="375"/>
      <c r="D135" s="376" t="s">
        <v>198</v>
      </c>
      <c r="E135" s="377"/>
      <c r="F135" s="376" t="s">
        <v>79</v>
      </c>
      <c r="G135" s="378"/>
      <c r="H135" s="380"/>
    </row>
    <row r="136" spans="2:9" ht="16.8" thickBot="1">
      <c r="B136" s="375"/>
      <c r="C136" s="375"/>
      <c r="D136" s="379" t="str">
        <f>+B29</f>
        <v>変動売上原価</v>
      </c>
      <c r="E136" s="365">
        <f>+C29</f>
        <v>92400</v>
      </c>
      <c r="F136" s="379" t="s">
        <v>197</v>
      </c>
      <c r="G136" s="364">
        <f>+D123</f>
        <v>330000</v>
      </c>
      <c r="H136" s="380"/>
    </row>
    <row r="137" spans="2:9">
      <c r="B137" s="375"/>
      <c r="C137" s="375"/>
      <c r="D137" s="379" t="str">
        <f>+B30</f>
        <v>変動販売費</v>
      </c>
      <c r="E137" s="368">
        <f>+C30</f>
        <v>43890</v>
      </c>
      <c r="F137" s="380"/>
      <c r="G137" s="381"/>
      <c r="H137" s="380"/>
    </row>
    <row r="138" spans="2:9">
      <c r="B138" s="375"/>
      <c r="C138" s="375"/>
      <c r="D138" s="379"/>
      <c r="E138" s="369"/>
      <c r="F138" s="380"/>
      <c r="G138" s="381"/>
      <c r="H138" s="380"/>
    </row>
    <row r="139" spans="2:9">
      <c r="B139" s="375"/>
      <c r="C139" s="375"/>
      <c r="D139" s="379" t="str">
        <f t="shared" ref="D139:E142" si="11">+B32</f>
        <v>水道光熱費</v>
      </c>
      <c r="E139" s="369">
        <f t="shared" si="11"/>
        <v>40000</v>
      </c>
      <c r="F139" s="380"/>
      <c r="G139" s="381"/>
      <c r="H139" s="375"/>
    </row>
    <row r="140" spans="2:9">
      <c r="B140" s="375"/>
      <c r="C140" s="375"/>
      <c r="D140" s="379" t="str">
        <f t="shared" si="11"/>
        <v>事務通信費</v>
      </c>
      <c r="E140" s="369">
        <f t="shared" si="11"/>
        <v>6000</v>
      </c>
      <c r="F140" s="380"/>
      <c r="G140" s="381"/>
      <c r="H140" s="375"/>
    </row>
    <row r="141" spans="2:9">
      <c r="B141" s="375"/>
      <c r="C141" s="375"/>
      <c r="D141" s="379" t="str">
        <f t="shared" si="11"/>
        <v>広告宣伝費</v>
      </c>
      <c r="E141" s="369">
        <f t="shared" si="11"/>
        <v>6500</v>
      </c>
      <c r="F141" s="380"/>
      <c r="G141" s="381"/>
      <c r="H141" s="375"/>
    </row>
    <row r="142" spans="2:9">
      <c r="B142" s="375"/>
      <c r="C142" s="375"/>
      <c r="D142" s="379" t="str">
        <f t="shared" si="11"/>
        <v>設備保守点検・修繕費</v>
      </c>
      <c r="E142" s="369">
        <f t="shared" si="11"/>
        <v>10000</v>
      </c>
      <c r="F142" s="380"/>
      <c r="G142" s="381"/>
      <c r="H142" s="375"/>
    </row>
    <row r="143" spans="2:9">
      <c r="B143" s="375"/>
      <c r="C143" s="375"/>
      <c r="D143" s="379" t="str">
        <f>+B36</f>
        <v>人件費</v>
      </c>
      <c r="E143" s="369">
        <f>+C36-D121</f>
        <v>103300</v>
      </c>
      <c r="F143" s="380"/>
      <c r="G143" s="381"/>
      <c r="H143" s="375"/>
    </row>
    <row r="144" spans="2:9" ht="16.8" thickBot="1">
      <c r="B144" s="375"/>
      <c r="C144" s="375"/>
      <c r="D144" s="127" t="s">
        <v>9</v>
      </c>
      <c r="E144" s="370">
        <f>+C37</f>
        <v>25400</v>
      </c>
      <c r="F144" s="380"/>
      <c r="G144" s="381"/>
      <c r="H144" s="375"/>
    </row>
    <row r="145" spans="2:8">
      <c r="B145" s="375"/>
      <c r="C145" s="375"/>
      <c r="D145" s="128"/>
      <c r="E145" s="129"/>
      <c r="F145" s="379"/>
      <c r="G145" s="381"/>
      <c r="H145" s="375"/>
    </row>
    <row r="146" spans="2:8">
      <c r="B146" s="375"/>
      <c r="C146" s="375"/>
      <c r="D146" s="130" t="s">
        <v>199</v>
      </c>
      <c r="E146" s="385">
        <f>+G136-SUM(E136:E144)</f>
        <v>2510</v>
      </c>
      <c r="F146" s="379"/>
      <c r="G146" s="381"/>
      <c r="H146" s="375"/>
    </row>
    <row r="147" spans="2:8">
      <c r="B147" s="375"/>
      <c r="C147" s="375"/>
      <c r="D147" s="130" t="s">
        <v>201</v>
      </c>
      <c r="E147" s="386" t="s">
        <v>200</v>
      </c>
      <c r="F147" s="379"/>
      <c r="G147" s="381"/>
      <c r="H147" s="375"/>
    </row>
    <row r="148" spans="2:8">
      <c r="B148" s="375"/>
      <c r="C148" s="375"/>
      <c r="D148" s="128">
        <f>+E146*0.6</f>
        <v>1506</v>
      </c>
      <c r="E148" s="387">
        <f>+E146*0.4</f>
        <v>1004</v>
      </c>
      <c r="F148" s="383"/>
      <c r="G148" s="384"/>
      <c r="H148" s="375"/>
    </row>
    <row r="149" spans="2:8">
      <c r="B149" s="375"/>
      <c r="C149" s="375" t="s">
        <v>225</v>
      </c>
      <c r="D149" s="32">
        <f>+E144+D148</f>
        <v>26906</v>
      </c>
      <c r="E149" s="375"/>
      <c r="F149" s="375"/>
      <c r="G149" s="375"/>
      <c r="H149" s="375"/>
    </row>
  </sheetData>
  <mergeCells count="2">
    <mergeCell ref="J117:J118"/>
    <mergeCell ref="M117:M118"/>
  </mergeCells>
  <phoneticPr fontId="3"/>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EE4D-8EED-4400-84D4-E4D6534BDC8D}">
  <sheetPr>
    <pageSetUpPr fitToPage="1"/>
  </sheetPr>
  <dimension ref="A1:R92"/>
  <sheetViews>
    <sheetView tabSelected="1" topLeftCell="B1" zoomScale="70" zoomScaleNormal="70" workbookViewId="0">
      <selection activeCell="B66" sqref="B66"/>
    </sheetView>
  </sheetViews>
  <sheetFormatPr defaultColWidth="12" defaultRowHeight="16.2"/>
  <cols>
    <col min="1" max="1" width="14.44140625" style="4" customWidth="1"/>
    <col min="2" max="5" width="13.109375" style="4" customWidth="1"/>
    <col min="6" max="8" width="12.6640625" style="4" customWidth="1"/>
    <col min="9" max="12" width="13.109375" style="4" customWidth="1"/>
    <col min="13" max="16384" width="12" style="4"/>
  </cols>
  <sheetData>
    <row r="1" spans="1:18">
      <c r="A1" s="5" t="s">
        <v>898</v>
      </c>
      <c r="B1" s="237"/>
      <c r="C1" s="237"/>
      <c r="D1" s="237"/>
      <c r="E1" s="237"/>
      <c r="F1" s="237"/>
      <c r="G1" s="237"/>
      <c r="H1" s="237"/>
      <c r="I1" s="237"/>
      <c r="J1" s="237"/>
      <c r="K1" s="237"/>
      <c r="L1" s="237"/>
      <c r="M1" s="237"/>
      <c r="N1" s="237"/>
      <c r="O1" s="237"/>
      <c r="P1" s="237"/>
      <c r="Q1" s="238"/>
    </row>
    <row r="2" spans="1:18">
      <c r="A2" s="8"/>
      <c r="B2" s="239"/>
      <c r="C2" s="240" t="s">
        <v>542</v>
      </c>
      <c r="D2" s="239"/>
      <c r="E2" s="239"/>
      <c r="F2" s="239"/>
      <c r="G2" s="239"/>
      <c r="H2" s="239"/>
      <c r="I2" s="239"/>
      <c r="J2" s="239"/>
      <c r="K2" s="239"/>
      <c r="L2" s="239"/>
      <c r="M2" s="239"/>
      <c r="N2" s="239"/>
      <c r="O2" s="239"/>
      <c r="P2" s="239"/>
      <c r="Q2" s="241"/>
    </row>
    <row r="3" spans="1:18" s="12" customFormat="1">
      <c r="A3" s="11"/>
      <c r="B3" s="242"/>
      <c r="C3" s="242"/>
      <c r="D3" s="242"/>
      <c r="E3" s="242"/>
      <c r="F3" s="242"/>
      <c r="G3" s="242"/>
      <c r="H3" s="242"/>
      <c r="I3" s="242"/>
      <c r="J3" s="242"/>
      <c r="K3" s="242"/>
      <c r="L3" s="242"/>
      <c r="M3" s="242"/>
      <c r="N3" s="242"/>
      <c r="O3" s="242"/>
      <c r="P3" s="242"/>
      <c r="Q3" s="242"/>
    </row>
    <row r="4" spans="1:18" ht="18" customHeight="1">
      <c r="A4" s="254" t="s">
        <v>332</v>
      </c>
      <c r="B4" s="244"/>
      <c r="C4" s="245"/>
      <c r="D4" s="245"/>
      <c r="E4" s="245"/>
      <c r="F4" s="245"/>
      <c r="G4" s="245"/>
      <c r="H4" s="245"/>
      <c r="I4" s="245"/>
      <c r="J4" s="245"/>
      <c r="K4" s="245"/>
      <c r="L4" s="245"/>
      <c r="M4" s="245"/>
      <c r="N4" s="245"/>
      <c r="O4" s="245"/>
      <c r="P4" s="245"/>
      <c r="Q4" s="245"/>
      <c r="R4" s="246"/>
    </row>
    <row r="5" spans="1:18">
      <c r="A5" s="255" t="s">
        <v>819</v>
      </c>
      <c r="B5" s="248"/>
      <c r="C5" s="248"/>
      <c r="D5" s="248"/>
      <c r="E5" s="248"/>
      <c r="F5" s="248"/>
      <c r="G5" s="248"/>
      <c r="H5" s="248"/>
      <c r="I5" s="248"/>
      <c r="J5" s="248"/>
      <c r="K5" s="248"/>
      <c r="L5" s="248"/>
      <c r="M5" s="248"/>
      <c r="N5" s="248"/>
      <c r="O5" s="248"/>
      <c r="P5" s="248"/>
      <c r="Q5" s="248"/>
      <c r="R5" s="249"/>
    </row>
    <row r="6" spans="1:18" ht="18" customHeight="1">
      <c r="A6" s="255" t="s">
        <v>820</v>
      </c>
      <c r="B6" s="248"/>
      <c r="C6" s="248"/>
      <c r="D6" s="248"/>
      <c r="E6" s="248"/>
      <c r="F6" s="248"/>
      <c r="G6" s="248"/>
      <c r="H6" s="248"/>
      <c r="I6" s="248"/>
      <c r="J6" s="248"/>
      <c r="K6" s="248"/>
      <c r="L6" s="248"/>
      <c r="M6" s="248"/>
      <c r="N6" s="248"/>
      <c r="O6" s="248"/>
      <c r="P6" s="248"/>
      <c r="Q6" s="248"/>
      <c r="R6" s="249"/>
    </row>
    <row r="7" spans="1:18" s="12" customFormat="1" ht="17.25" customHeight="1">
      <c r="A7" s="256" t="s">
        <v>132</v>
      </c>
      <c r="B7" s="253"/>
      <c r="C7" s="253"/>
      <c r="D7" s="335"/>
      <c r="E7" s="253"/>
      <c r="F7" s="253"/>
      <c r="G7" s="253"/>
      <c r="H7" s="253"/>
      <c r="I7" s="253"/>
      <c r="J7" s="253"/>
      <c r="K7" s="253"/>
      <c r="L7" s="253"/>
      <c r="M7" s="253"/>
      <c r="N7" s="253"/>
      <c r="O7" s="253"/>
      <c r="P7" s="253"/>
      <c r="Q7" s="253"/>
      <c r="R7" s="253"/>
    </row>
    <row r="8" spans="1:18" s="12" customFormat="1" ht="17.25" customHeight="1">
      <c r="A8" s="253" t="s">
        <v>612</v>
      </c>
      <c r="B8" s="253" t="s">
        <v>899</v>
      </c>
      <c r="C8" s="253"/>
      <c r="D8" s="392">
        <v>0.26390000000000002</v>
      </c>
      <c r="E8" s="253"/>
      <c r="F8" s="253"/>
      <c r="G8" s="253"/>
      <c r="H8" s="253"/>
      <c r="I8" s="253"/>
      <c r="J8" s="253"/>
      <c r="K8" s="253"/>
      <c r="L8" s="253"/>
      <c r="M8" s="253"/>
      <c r="N8" s="253"/>
      <c r="O8" s="253"/>
      <c r="P8" s="253"/>
      <c r="Q8" s="253"/>
      <c r="R8" s="253"/>
    </row>
    <row r="9" spans="1:18" s="12" customFormat="1" ht="17.25" customHeight="1">
      <c r="A9" s="253" t="s">
        <v>614</v>
      </c>
      <c r="B9" s="253" t="s">
        <v>616</v>
      </c>
      <c r="C9" s="253"/>
      <c r="D9" s="393">
        <v>5.3</v>
      </c>
      <c r="E9" s="253" t="s">
        <v>901</v>
      </c>
      <c r="F9" s="253"/>
      <c r="G9" s="253"/>
      <c r="H9" s="253"/>
      <c r="I9" s="253"/>
      <c r="J9" s="253"/>
      <c r="K9" s="253"/>
      <c r="L9" s="253"/>
      <c r="M9" s="253"/>
      <c r="N9" s="253"/>
      <c r="O9" s="253"/>
      <c r="P9" s="253"/>
      <c r="Q9" s="253"/>
      <c r="R9" s="253"/>
    </row>
    <row r="10" spans="1:18" s="12" customFormat="1" ht="17.25" customHeight="1">
      <c r="A10" s="253"/>
      <c r="B10" s="253" t="s">
        <v>613</v>
      </c>
      <c r="C10" s="253"/>
      <c r="D10" s="392">
        <v>0.15820000000000001</v>
      </c>
      <c r="E10" s="253"/>
      <c r="F10" s="253"/>
      <c r="G10" s="253"/>
      <c r="H10" s="253"/>
      <c r="I10" s="253"/>
      <c r="J10" s="253"/>
      <c r="K10" s="253"/>
      <c r="L10" s="253"/>
      <c r="M10" s="253"/>
      <c r="N10" s="253"/>
      <c r="O10" s="253"/>
      <c r="P10" s="253"/>
      <c r="Q10" s="253"/>
      <c r="R10" s="253"/>
    </row>
    <row r="11" spans="1:18" s="12" customFormat="1" ht="17.25" customHeight="1">
      <c r="A11" s="253"/>
      <c r="B11" s="253"/>
      <c r="C11" s="253"/>
      <c r="D11" s="390"/>
      <c r="E11" s="253"/>
      <c r="F11" s="253"/>
      <c r="G11" s="253"/>
      <c r="H11" s="253"/>
      <c r="I11" s="253"/>
      <c r="J11" s="253"/>
      <c r="K11" s="253"/>
      <c r="L11" s="253"/>
      <c r="M11" s="253"/>
      <c r="N11" s="253"/>
      <c r="O11" s="253"/>
      <c r="P11" s="253"/>
      <c r="Q11" s="253"/>
      <c r="R11" s="253"/>
    </row>
    <row r="12" spans="1:18" s="12" customFormat="1" ht="17.25" customHeight="1">
      <c r="A12" s="253"/>
      <c r="B12" s="389" t="s">
        <v>900</v>
      </c>
      <c r="C12" s="253"/>
      <c r="D12" s="335"/>
      <c r="E12" s="253"/>
      <c r="F12" s="253"/>
      <c r="G12" s="253"/>
      <c r="H12" s="253"/>
      <c r="I12" s="253"/>
      <c r="J12" s="253"/>
      <c r="K12" s="253"/>
      <c r="L12" s="253"/>
      <c r="M12" s="253"/>
      <c r="N12" s="253"/>
      <c r="O12" s="253"/>
      <c r="P12" s="253"/>
      <c r="Q12" s="253"/>
      <c r="R12" s="253"/>
    </row>
    <row r="13" spans="1:18" s="12" customFormat="1" ht="17.25" customHeight="1">
      <c r="A13" s="256" t="s">
        <v>133</v>
      </c>
      <c r="B13" s="253"/>
      <c r="C13" s="253"/>
      <c r="D13" s="253"/>
      <c r="E13" s="253"/>
      <c r="F13" s="253"/>
      <c r="G13" s="253"/>
      <c r="H13" s="253"/>
      <c r="I13" s="253"/>
      <c r="J13" s="253"/>
      <c r="K13" s="253"/>
      <c r="L13" s="253"/>
      <c r="M13" s="253"/>
      <c r="N13" s="253"/>
      <c r="O13" s="253"/>
      <c r="P13" s="253"/>
      <c r="Q13" s="253"/>
      <c r="R13" s="253"/>
    </row>
    <row r="14" spans="1:18" s="12" customFormat="1" ht="17.25" customHeight="1">
      <c r="A14" s="253"/>
      <c r="B14" s="253" t="s">
        <v>902</v>
      </c>
      <c r="C14" s="253"/>
      <c r="D14" s="253"/>
      <c r="E14" s="253"/>
      <c r="F14" s="253"/>
      <c r="G14" s="253"/>
      <c r="H14" s="253"/>
      <c r="I14" s="253"/>
      <c r="J14" s="253"/>
      <c r="K14" s="253"/>
      <c r="L14" s="253"/>
      <c r="M14" s="253"/>
      <c r="N14" s="253"/>
      <c r="O14" s="253"/>
      <c r="P14" s="253"/>
      <c r="Q14" s="253"/>
      <c r="R14" s="253"/>
    </row>
    <row r="15" spans="1:18" s="12" customFormat="1" ht="17.25" customHeight="1">
      <c r="A15" s="253"/>
      <c r="B15" s="253"/>
      <c r="C15" s="253"/>
      <c r="D15" s="253"/>
      <c r="E15" s="253"/>
      <c r="F15" s="253"/>
      <c r="G15" s="253"/>
      <c r="H15" s="253"/>
      <c r="I15" s="253"/>
      <c r="J15" s="253"/>
      <c r="K15" s="253"/>
      <c r="L15" s="253"/>
      <c r="M15" s="253"/>
      <c r="N15" s="253"/>
      <c r="O15" s="253"/>
      <c r="P15" s="253"/>
      <c r="Q15" s="253"/>
      <c r="R15" s="253"/>
    </row>
    <row r="16" spans="1:18" ht="18" customHeight="1">
      <c r="A16" s="243" t="s">
        <v>100</v>
      </c>
      <c r="B16" s="244" t="s">
        <v>903</v>
      </c>
      <c r="C16" s="245"/>
      <c r="D16" s="245"/>
      <c r="E16" s="245"/>
      <c r="F16" s="245"/>
      <c r="G16" s="245"/>
      <c r="H16" s="245"/>
      <c r="I16" s="245"/>
      <c r="J16" s="245"/>
      <c r="K16" s="245"/>
      <c r="L16" s="245"/>
      <c r="M16" s="245"/>
      <c r="N16" s="245"/>
      <c r="O16" s="245"/>
      <c r="P16" s="245"/>
      <c r="Q16" s="245"/>
      <c r="R16" s="246"/>
    </row>
    <row r="17" spans="1:18">
      <c r="A17" s="247"/>
      <c r="B17" s="248" t="s">
        <v>904</v>
      </c>
      <c r="C17" s="248"/>
      <c r="D17" s="248"/>
      <c r="E17" s="248"/>
      <c r="F17" s="248"/>
      <c r="G17" s="248"/>
      <c r="H17" s="248"/>
      <c r="I17" s="248"/>
      <c r="J17" s="248"/>
      <c r="K17" s="248"/>
      <c r="L17" s="248"/>
      <c r="M17" s="248"/>
      <c r="N17" s="248"/>
      <c r="O17" s="248"/>
      <c r="P17" s="248"/>
      <c r="Q17" s="248"/>
      <c r="R17" s="249"/>
    </row>
    <row r="18" spans="1:18">
      <c r="A18" s="247"/>
      <c r="B18" s="248" t="s">
        <v>905</v>
      </c>
      <c r="C18" s="248"/>
      <c r="D18" s="248"/>
      <c r="E18" s="248"/>
      <c r="F18" s="248"/>
      <c r="G18" s="248"/>
      <c r="H18" s="248"/>
      <c r="I18" s="248"/>
      <c r="J18" s="248"/>
      <c r="K18" s="248"/>
      <c r="L18" s="248"/>
      <c r="M18" s="248"/>
      <c r="N18" s="248"/>
      <c r="O18" s="248"/>
      <c r="P18" s="248"/>
      <c r="Q18" s="248"/>
      <c r="R18" s="249"/>
    </row>
    <row r="20" spans="1:18">
      <c r="A20" s="4" t="s">
        <v>117</v>
      </c>
      <c r="B20" s="4" t="s">
        <v>908</v>
      </c>
    </row>
    <row r="21" spans="1:18">
      <c r="B21" s="4" t="s">
        <v>906</v>
      </c>
    </row>
    <row r="23" spans="1:18">
      <c r="B23" s="4" t="s">
        <v>907</v>
      </c>
    </row>
    <row r="24" spans="1:18">
      <c r="G24" s="4" t="s">
        <v>912</v>
      </c>
      <c r="I24" s="4" t="s">
        <v>914</v>
      </c>
    </row>
    <row r="25" spans="1:18">
      <c r="B25" s="4" t="s">
        <v>79</v>
      </c>
      <c r="D25" s="4">
        <v>60</v>
      </c>
      <c r="G25" s="87">
        <v>70</v>
      </c>
      <c r="I25" s="4" t="s">
        <v>913</v>
      </c>
    </row>
    <row r="26" spans="1:18">
      <c r="B26" s="4" t="s">
        <v>909</v>
      </c>
      <c r="C26" s="4">
        <v>39</v>
      </c>
      <c r="E26" s="56">
        <f>+C26/D25</f>
        <v>0.65</v>
      </c>
      <c r="F26" s="4" t="s">
        <v>911</v>
      </c>
      <c r="G26" s="87">
        <f>+G25*E26</f>
        <v>45.5</v>
      </c>
      <c r="I26" s="4" t="s">
        <v>915</v>
      </c>
    </row>
    <row r="27" spans="1:18">
      <c r="B27" s="4" t="s">
        <v>84</v>
      </c>
      <c r="D27" s="4">
        <f>+D25-C26</f>
        <v>21</v>
      </c>
      <c r="G27" s="391">
        <f>+G25-G26</f>
        <v>24.5</v>
      </c>
      <c r="H27" s="134"/>
      <c r="I27" s="134" t="s">
        <v>917</v>
      </c>
    </row>
    <row r="28" spans="1:18">
      <c r="B28" s="4" t="s">
        <v>910</v>
      </c>
      <c r="C28" s="4">
        <v>28</v>
      </c>
    </row>
    <row r="29" spans="1:18">
      <c r="D29" s="4">
        <f>+D27-C28</f>
        <v>-7</v>
      </c>
    </row>
    <row r="30" spans="1:18">
      <c r="B30" s="4" t="s">
        <v>916</v>
      </c>
    </row>
    <row r="31" spans="1:18">
      <c r="C31" s="4" t="s">
        <v>918</v>
      </c>
    </row>
    <row r="32" spans="1:18">
      <c r="C32" s="4" t="s">
        <v>919</v>
      </c>
    </row>
    <row r="33" spans="1:18">
      <c r="C33" s="4" t="s">
        <v>920</v>
      </c>
    </row>
    <row r="35" spans="1:18">
      <c r="B35" s="34" t="s">
        <v>921</v>
      </c>
      <c r="C35" s="34"/>
      <c r="D35" s="34"/>
    </row>
    <row r="37" spans="1:18">
      <c r="A37" s="4" t="s">
        <v>118</v>
      </c>
    </row>
    <row r="47" spans="1:18" ht="18" customHeight="1">
      <c r="A47" s="243" t="s">
        <v>312</v>
      </c>
      <c r="B47" s="244" t="s">
        <v>922</v>
      </c>
      <c r="C47" s="245"/>
      <c r="D47" s="245"/>
      <c r="E47" s="245"/>
      <c r="F47" s="245"/>
      <c r="G47" s="245"/>
      <c r="H47" s="245"/>
      <c r="I47" s="245"/>
      <c r="J47" s="245"/>
      <c r="K47" s="245"/>
      <c r="L47" s="245"/>
      <c r="M47" s="245"/>
      <c r="N47" s="245"/>
      <c r="O47" s="245"/>
      <c r="P47" s="245"/>
      <c r="Q47" s="245"/>
      <c r="R47" s="246"/>
    </row>
    <row r="48" spans="1:18">
      <c r="A48" s="247"/>
      <c r="B48" s="248" t="s">
        <v>923</v>
      </c>
      <c r="C48" s="248"/>
      <c r="D48" s="248"/>
      <c r="E48" s="248"/>
      <c r="F48" s="248"/>
      <c r="G48" s="248"/>
      <c r="H48" s="248"/>
      <c r="I48" s="248"/>
      <c r="J48" s="248"/>
      <c r="K48" s="248"/>
      <c r="L48" s="248"/>
      <c r="M48" s="248"/>
      <c r="N48" s="248"/>
      <c r="O48" s="248"/>
      <c r="P48" s="248"/>
      <c r="Q48" s="248"/>
      <c r="R48" s="249"/>
    </row>
    <row r="49" spans="1:18">
      <c r="A49" s="247"/>
      <c r="B49" s="248" t="s">
        <v>924</v>
      </c>
      <c r="C49" s="248"/>
      <c r="D49" s="248"/>
      <c r="E49" s="248"/>
      <c r="F49" s="248"/>
      <c r="G49" s="248"/>
      <c r="H49" s="248"/>
      <c r="I49" s="248"/>
      <c r="J49" s="248"/>
      <c r="K49" s="248"/>
      <c r="L49" s="248"/>
      <c r="M49" s="248"/>
      <c r="N49" s="248"/>
      <c r="O49" s="248"/>
      <c r="P49" s="248"/>
      <c r="Q49" s="248"/>
      <c r="R49" s="249"/>
    </row>
    <row r="51" spans="1:18">
      <c r="A51" s="4" t="s">
        <v>117</v>
      </c>
    </row>
    <row r="52" spans="1:18">
      <c r="B52" s="71" t="s">
        <v>925</v>
      </c>
      <c r="C52" s="78" t="s">
        <v>926</v>
      </c>
    </row>
    <row r="53" spans="1:18">
      <c r="B53" s="74" t="s">
        <v>929</v>
      </c>
      <c r="C53" s="79" t="s">
        <v>927</v>
      </c>
    </row>
    <row r="54" spans="1:18">
      <c r="B54" s="107" t="s">
        <v>930</v>
      </c>
      <c r="C54" s="48" t="s">
        <v>928</v>
      </c>
      <c r="D54" s="4" t="s">
        <v>931</v>
      </c>
    </row>
    <row r="55" spans="1:18">
      <c r="B55" s="74"/>
      <c r="C55" s="79"/>
    </row>
    <row r="56" spans="1:18">
      <c r="B56" s="76"/>
      <c r="C56" s="44"/>
    </row>
    <row r="58" spans="1:18">
      <c r="B58" s="33" t="s">
        <v>932</v>
      </c>
      <c r="C58" s="33"/>
    </row>
    <row r="59" spans="1:18">
      <c r="B59" s="4" t="s">
        <v>934</v>
      </c>
      <c r="C59" s="71" t="s">
        <v>933</v>
      </c>
    </row>
    <row r="60" spans="1:18">
      <c r="B60" s="4" t="s">
        <v>935</v>
      </c>
      <c r="C60" s="394" t="s">
        <v>936</v>
      </c>
    </row>
    <row r="61" spans="1:18">
      <c r="C61" s="394">
        <v>100</v>
      </c>
    </row>
    <row r="63" spans="1:18">
      <c r="B63" s="4" t="s">
        <v>937</v>
      </c>
    </row>
    <row r="65" spans="1:18">
      <c r="A65" s="4" t="s">
        <v>118</v>
      </c>
      <c r="B65" s="4" t="s">
        <v>938</v>
      </c>
    </row>
    <row r="66" spans="1:18">
      <c r="B66" s="4" t="s">
        <v>939</v>
      </c>
    </row>
    <row r="69" spans="1:18" ht="18" customHeight="1">
      <c r="A69" s="243" t="s">
        <v>74</v>
      </c>
      <c r="B69" s="244" t="s">
        <v>940</v>
      </c>
      <c r="C69" s="245"/>
      <c r="D69" s="245"/>
      <c r="E69" s="245"/>
      <c r="F69" s="245"/>
      <c r="G69" s="245"/>
      <c r="H69" s="245"/>
      <c r="I69" s="245"/>
      <c r="J69" s="245"/>
      <c r="K69" s="245"/>
      <c r="L69" s="245"/>
      <c r="M69" s="245"/>
      <c r="N69" s="245"/>
      <c r="O69" s="245"/>
      <c r="P69" s="245"/>
      <c r="Q69" s="245"/>
      <c r="R69" s="246"/>
    </row>
    <row r="70" spans="1:18">
      <c r="A70" s="247"/>
      <c r="B70" s="248" t="s">
        <v>941</v>
      </c>
      <c r="C70" s="248"/>
      <c r="D70" s="248"/>
      <c r="E70" s="248"/>
      <c r="F70" s="248"/>
      <c r="G70" s="248"/>
      <c r="H70" s="248"/>
      <c r="I70" s="248"/>
      <c r="J70" s="248"/>
      <c r="K70" s="248"/>
      <c r="L70" s="248"/>
      <c r="M70" s="248"/>
      <c r="N70" s="248"/>
      <c r="O70" s="248"/>
      <c r="P70" s="248"/>
      <c r="Q70" s="248"/>
      <c r="R70" s="249"/>
    </row>
    <row r="71" spans="1:18">
      <c r="A71" s="247"/>
      <c r="B71" s="248" t="s">
        <v>942</v>
      </c>
      <c r="C71" s="248"/>
      <c r="D71" s="248"/>
      <c r="E71" s="248"/>
      <c r="F71" s="248"/>
      <c r="G71" s="248"/>
      <c r="H71" s="248"/>
      <c r="I71" s="248"/>
      <c r="J71" s="248"/>
      <c r="K71" s="248"/>
      <c r="L71" s="248"/>
      <c r="M71" s="248"/>
      <c r="N71" s="248"/>
      <c r="O71" s="248"/>
      <c r="P71" s="248"/>
      <c r="Q71" s="248"/>
      <c r="R71" s="249"/>
    </row>
    <row r="73" spans="1:18">
      <c r="A73" s="4" t="s">
        <v>117</v>
      </c>
      <c r="B73" s="4" t="s">
        <v>948</v>
      </c>
    </row>
    <row r="74" spans="1:18">
      <c r="C74" s="4" t="s">
        <v>943</v>
      </c>
      <c r="D74" s="4" t="s">
        <v>944</v>
      </c>
      <c r="E74" s="4" t="s">
        <v>945</v>
      </c>
      <c r="F74" s="4" t="s">
        <v>253</v>
      </c>
    </row>
    <row r="75" spans="1:18">
      <c r="B75" s="4" t="s">
        <v>79</v>
      </c>
      <c r="C75" s="4">
        <v>4330</v>
      </c>
      <c r="D75" s="4">
        <v>182</v>
      </c>
      <c r="E75" s="4">
        <v>43</v>
      </c>
      <c r="F75" s="4">
        <f>+SUM(C75:E75)</f>
        <v>4555</v>
      </c>
    </row>
    <row r="76" spans="1:18">
      <c r="B76" s="4" t="s">
        <v>717</v>
      </c>
      <c r="C76" s="4">
        <v>146</v>
      </c>
      <c r="D76" s="4">
        <v>-23</v>
      </c>
      <c r="E76" s="4">
        <v>-25</v>
      </c>
      <c r="F76" s="4">
        <f t="shared" ref="F76:F77" si="0">+SUM(C76:E76)</f>
        <v>98</v>
      </c>
    </row>
    <row r="77" spans="1:18">
      <c r="B77" s="4" t="s">
        <v>946</v>
      </c>
      <c r="C77" s="4">
        <v>3385</v>
      </c>
      <c r="D77" s="4">
        <v>394</v>
      </c>
      <c r="E77" s="4">
        <v>65</v>
      </c>
      <c r="F77" s="4">
        <f t="shared" si="0"/>
        <v>3844</v>
      </c>
    </row>
    <row r="79" spans="1:18">
      <c r="B79" s="4" t="s">
        <v>947</v>
      </c>
      <c r="C79" s="115">
        <f>+C76/C77</f>
        <v>4.3131462333825699E-2</v>
      </c>
      <c r="D79" s="56"/>
      <c r="E79" s="56"/>
      <c r="F79" s="115">
        <f>+F76/F77</f>
        <v>2.5494276795005204E-2</v>
      </c>
    </row>
    <row r="81" spans="1:11">
      <c r="A81" s="4" t="s">
        <v>118</v>
      </c>
      <c r="B81" s="4" t="s">
        <v>949</v>
      </c>
    </row>
    <row r="83" spans="1:11">
      <c r="C83" s="4" t="s">
        <v>943</v>
      </c>
      <c r="D83" s="4" t="s">
        <v>661</v>
      </c>
      <c r="E83" s="4" t="s">
        <v>956</v>
      </c>
      <c r="G83" s="4" t="s">
        <v>950</v>
      </c>
    </row>
    <row r="84" spans="1:11">
      <c r="B84" s="4" t="s">
        <v>79</v>
      </c>
      <c r="C84" s="4">
        <v>4330</v>
      </c>
      <c r="D84" s="4">
        <f>+K84</f>
        <v>92</v>
      </c>
      <c r="E84" s="4">
        <f>+C84+D84</f>
        <v>4422</v>
      </c>
      <c r="J84" s="4" t="s">
        <v>953</v>
      </c>
      <c r="K84" s="4">
        <v>92</v>
      </c>
    </row>
    <row r="85" spans="1:11">
      <c r="G85" s="71" t="s">
        <v>80</v>
      </c>
      <c r="H85" s="395" t="s">
        <v>952</v>
      </c>
      <c r="J85" s="4" t="s">
        <v>954</v>
      </c>
      <c r="K85" s="4">
        <v>80</v>
      </c>
    </row>
    <row r="86" spans="1:11">
      <c r="B86" s="4" t="s">
        <v>717</v>
      </c>
      <c r="C86" s="4">
        <v>146</v>
      </c>
      <c r="D86" s="4">
        <v>12</v>
      </c>
      <c r="E86" s="4">
        <f t="shared" ref="E86:E87" si="1">+C86+D86</f>
        <v>158</v>
      </c>
      <c r="G86" s="74">
        <v>400</v>
      </c>
      <c r="H86" s="396" t="s">
        <v>951</v>
      </c>
      <c r="J86" s="4" t="s">
        <v>955</v>
      </c>
      <c r="K86" s="4">
        <f>+K84-K85</f>
        <v>12</v>
      </c>
    </row>
    <row r="87" spans="1:11">
      <c r="B87" s="4" t="s">
        <v>946</v>
      </c>
      <c r="C87" s="4">
        <v>3385</v>
      </c>
      <c r="D87" s="4">
        <f>+H87</f>
        <v>320</v>
      </c>
      <c r="E87" s="4">
        <f t="shared" si="1"/>
        <v>3705</v>
      </c>
      <c r="G87" s="74"/>
      <c r="H87" s="396">
        <v>320</v>
      </c>
    </row>
    <row r="88" spans="1:11">
      <c r="G88" s="74"/>
      <c r="H88" s="396"/>
    </row>
    <row r="89" spans="1:11">
      <c r="B89" s="4" t="s">
        <v>947</v>
      </c>
      <c r="E89" s="115">
        <f>+E86/E87</f>
        <v>4.2645074224021591E-2</v>
      </c>
      <c r="G89" s="76"/>
      <c r="H89" s="48"/>
    </row>
    <row r="91" spans="1:11">
      <c r="B91" s="4" t="s">
        <v>957</v>
      </c>
      <c r="D91" s="4">
        <f>+G86*0.04</f>
        <v>16</v>
      </c>
    </row>
    <row r="92" spans="1:11">
      <c r="B92" s="4" t="s">
        <v>958</v>
      </c>
      <c r="D92" s="4">
        <f>+D86-D91</f>
        <v>-4</v>
      </c>
      <c r="E92" s="4" t="s">
        <v>959</v>
      </c>
    </row>
  </sheetData>
  <phoneticPr fontId="3"/>
  <pageMargins left="0.25" right="0.25" top="0.75" bottom="0.75" header="0.3" footer="0.3"/>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9"/>
  <sheetViews>
    <sheetView zoomScale="70" zoomScaleNormal="70" workbookViewId="0">
      <selection activeCell="A17" sqref="A17:XFD19"/>
    </sheetView>
  </sheetViews>
  <sheetFormatPr defaultColWidth="12" defaultRowHeight="16.2"/>
  <cols>
    <col min="1" max="1" width="14.44140625" style="4" customWidth="1"/>
    <col min="2" max="5" width="13.109375" style="4" customWidth="1"/>
    <col min="6" max="8" width="12.6640625" style="4" customWidth="1"/>
    <col min="9" max="12" width="13.109375" style="4" customWidth="1"/>
    <col min="13" max="16384" width="12" style="4"/>
  </cols>
  <sheetData>
    <row r="1" spans="1:18">
      <c r="A1" s="5" t="s">
        <v>704</v>
      </c>
      <c r="B1" s="237"/>
      <c r="C1" s="237"/>
      <c r="D1" s="237"/>
      <c r="E1" s="237"/>
      <c r="F1" s="237"/>
      <c r="G1" s="237"/>
      <c r="H1" s="237"/>
      <c r="I1" s="237"/>
      <c r="J1" s="237"/>
      <c r="K1" s="237"/>
      <c r="L1" s="237"/>
      <c r="M1" s="237"/>
      <c r="N1" s="237"/>
      <c r="O1" s="237"/>
      <c r="P1" s="237"/>
      <c r="Q1" s="238"/>
    </row>
    <row r="2" spans="1:18">
      <c r="A2" s="8"/>
      <c r="B2" s="239"/>
      <c r="C2" s="240" t="s">
        <v>542</v>
      </c>
      <c r="D2" s="239"/>
      <c r="E2" s="239"/>
      <c r="F2" s="239"/>
      <c r="G2" s="239"/>
      <c r="H2" s="239"/>
      <c r="I2" s="239"/>
      <c r="J2" s="239"/>
      <c r="K2" s="239"/>
      <c r="L2" s="239"/>
      <c r="M2" s="239"/>
      <c r="N2" s="239"/>
      <c r="O2" s="239"/>
      <c r="P2" s="239"/>
      <c r="Q2" s="241"/>
    </row>
    <row r="3" spans="1:18" s="12" customFormat="1">
      <c r="A3" s="11"/>
      <c r="B3" s="242"/>
      <c r="C3" s="242"/>
      <c r="D3" s="242"/>
      <c r="E3" s="242"/>
      <c r="F3" s="242"/>
      <c r="G3" s="242"/>
      <c r="H3" s="242"/>
      <c r="I3" s="242"/>
      <c r="J3" s="242"/>
      <c r="K3" s="242"/>
      <c r="L3" s="242"/>
      <c r="M3" s="242"/>
      <c r="N3" s="242"/>
      <c r="O3" s="242"/>
      <c r="P3" s="242"/>
      <c r="Q3" s="242"/>
    </row>
    <row r="4" spans="1:18" ht="18" customHeight="1">
      <c r="A4" s="254" t="s">
        <v>332</v>
      </c>
      <c r="B4" s="244"/>
      <c r="C4" s="245"/>
      <c r="D4" s="245"/>
      <c r="E4" s="245"/>
      <c r="F4" s="245"/>
      <c r="G4" s="245"/>
      <c r="H4" s="245"/>
      <c r="I4" s="245"/>
      <c r="J4" s="245"/>
      <c r="K4" s="245"/>
      <c r="L4" s="245"/>
      <c r="M4" s="245"/>
      <c r="N4" s="245"/>
      <c r="O4" s="245"/>
      <c r="P4" s="245"/>
      <c r="Q4" s="245"/>
      <c r="R4" s="246"/>
    </row>
    <row r="5" spans="1:18">
      <c r="A5" s="255" t="s">
        <v>819</v>
      </c>
      <c r="B5" s="248"/>
      <c r="C5" s="248"/>
      <c r="D5" s="248"/>
      <c r="E5" s="248"/>
      <c r="F5" s="248"/>
      <c r="G5" s="248"/>
      <c r="H5" s="248"/>
      <c r="I5" s="248"/>
      <c r="J5" s="248"/>
      <c r="K5" s="248"/>
      <c r="L5" s="248"/>
      <c r="M5" s="248"/>
      <c r="N5" s="248"/>
      <c r="O5" s="248"/>
      <c r="P5" s="248"/>
      <c r="Q5" s="248"/>
      <c r="R5" s="249"/>
    </row>
    <row r="6" spans="1:18" ht="18" customHeight="1">
      <c r="A6" s="255" t="s">
        <v>820</v>
      </c>
      <c r="B6" s="248"/>
      <c r="C6" s="248"/>
      <c r="D6" s="248"/>
      <c r="E6" s="248"/>
      <c r="F6" s="248"/>
      <c r="G6" s="248"/>
      <c r="H6" s="248"/>
      <c r="I6" s="248"/>
      <c r="J6" s="248"/>
      <c r="K6" s="248"/>
      <c r="L6" s="248"/>
      <c r="M6" s="248"/>
      <c r="N6" s="248"/>
      <c r="O6" s="248"/>
      <c r="P6" s="248"/>
      <c r="Q6" s="248"/>
      <c r="R6" s="249"/>
    </row>
    <row r="7" spans="1:18" s="12" customFormat="1" ht="17.25" customHeight="1">
      <c r="A7" s="256" t="s">
        <v>132</v>
      </c>
      <c r="B7" s="253"/>
      <c r="C7" s="253"/>
      <c r="D7" s="335"/>
      <c r="E7" s="253"/>
      <c r="F7" s="253"/>
      <c r="G7" s="253"/>
      <c r="H7" s="253"/>
      <c r="I7" s="253"/>
      <c r="J7" s="253"/>
      <c r="K7" s="253"/>
      <c r="L7" s="253"/>
      <c r="M7" s="253"/>
      <c r="N7" s="253"/>
      <c r="O7" s="253"/>
      <c r="P7" s="253"/>
      <c r="Q7" s="253"/>
      <c r="R7" s="253"/>
    </row>
    <row r="8" spans="1:18" s="12" customFormat="1" ht="17.25" customHeight="1">
      <c r="A8" s="253" t="s">
        <v>612</v>
      </c>
      <c r="B8" s="253" t="s">
        <v>864</v>
      </c>
      <c r="C8" s="253"/>
      <c r="D8" s="335"/>
      <c r="E8" s="253"/>
      <c r="F8" s="253"/>
      <c r="G8" s="253"/>
      <c r="H8" s="253"/>
      <c r="I8" s="253"/>
      <c r="J8" s="253"/>
      <c r="K8" s="253"/>
      <c r="L8" s="253"/>
      <c r="M8" s="253"/>
      <c r="N8" s="253"/>
      <c r="O8" s="253"/>
      <c r="P8" s="253"/>
      <c r="Q8" s="253"/>
      <c r="R8" s="253"/>
    </row>
    <row r="9" spans="1:18" s="12" customFormat="1" ht="17.25" customHeight="1">
      <c r="A9" s="253" t="s">
        <v>614</v>
      </c>
      <c r="B9" s="253" t="s">
        <v>865</v>
      </c>
      <c r="C9" s="253"/>
      <c r="D9" s="335"/>
      <c r="E9" s="253"/>
      <c r="F9" s="253"/>
      <c r="G9" s="253"/>
      <c r="H9" s="253"/>
      <c r="I9" s="253"/>
      <c r="J9" s="253"/>
      <c r="K9" s="253"/>
      <c r="L9" s="253"/>
      <c r="M9" s="253"/>
      <c r="N9" s="253"/>
      <c r="O9" s="253"/>
      <c r="P9" s="253"/>
      <c r="Q9" s="253"/>
      <c r="R9" s="253"/>
    </row>
    <row r="10" spans="1:18" s="12" customFormat="1" ht="17.25" customHeight="1">
      <c r="A10" s="253"/>
      <c r="B10" s="253" t="s">
        <v>816</v>
      </c>
      <c r="C10" s="253"/>
      <c r="D10" s="335"/>
      <c r="E10" s="253"/>
      <c r="F10" s="253"/>
      <c r="G10" s="253"/>
      <c r="H10" s="253"/>
      <c r="I10" s="253"/>
      <c r="J10" s="253"/>
      <c r="K10" s="253"/>
      <c r="L10" s="253"/>
      <c r="M10" s="253"/>
      <c r="N10" s="253"/>
      <c r="O10" s="253"/>
      <c r="P10" s="253"/>
      <c r="Q10" s="253"/>
      <c r="R10" s="253"/>
    </row>
    <row r="11" spans="1:18" s="12" customFormat="1" ht="17.25" customHeight="1">
      <c r="A11" s="256" t="s">
        <v>133</v>
      </c>
      <c r="B11" s="253"/>
      <c r="C11" s="253"/>
      <c r="D11" s="253"/>
      <c r="E11" s="253"/>
      <c r="F11" s="253"/>
      <c r="G11" s="253"/>
      <c r="H11" s="253"/>
      <c r="I11" s="253"/>
      <c r="J11" s="253"/>
      <c r="K11" s="253"/>
      <c r="L11" s="253"/>
      <c r="M11" s="253"/>
      <c r="N11" s="253"/>
      <c r="O11" s="253"/>
      <c r="P11" s="253"/>
      <c r="Q11" s="253"/>
      <c r="R11" s="253"/>
    </row>
    <row r="12" spans="1:18" s="12" customFormat="1" ht="17.25" customHeight="1">
      <c r="A12" s="253"/>
      <c r="B12" s="253" t="s">
        <v>818</v>
      </c>
      <c r="C12" s="253"/>
      <c r="D12" s="253"/>
      <c r="E12" s="253"/>
      <c r="F12" s="253"/>
      <c r="G12" s="253"/>
      <c r="H12" s="253"/>
      <c r="I12" s="253"/>
      <c r="J12" s="253"/>
      <c r="K12" s="253"/>
      <c r="L12" s="253"/>
      <c r="M12" s="253"/>
      <c r="N12" s="253"/>
      <c r="O12" s="253"/>
      <c r="P12" s="253"/>
      <c r="Q12" s="253"/>
      <c r="R12" s="253"/>
    </row>
    <row r="13" spans="1:18" s="12" customFormat="1" ht="17.25" customHeight="1">
      <c r="A13" s="253"/>
      <c r="B13" s="253"/>
      <c r="C13" s="253"/>
      <c r="D13" s="253"/>
      <c r="E13" s="253"/>
      <c r="F13" s="253"/>
      <c r="G13" s="253"/>
      <c r="H13" s="253"/>
      <c r="I13" s="253"/>
      <c r="J13" s="253"/>
      <c r="K13" s="253"/>
      <c r="L13" s="253"/>
      <c r="M13" s="253"/>
      <c r="N13" s="253"/>
      <c r="O13" s="253"/>
      <c r="P13" s="253"/>
      <c r="Q13" s="253"/>
      <c r="R13" s="253"/>
    </row>
    <row r="14" spans="1:18">
      <c r="D14" s="335"/>
    </row>
    <row r="15" spans="1:18" s="12" customFormat="1" ht="17.25" customHeight="1">
      <c r="A15" s="256"/>
      <c r="B15" s="335"/>
      <c r="C15" s="253"/>
      <c r="D15" s="335"/>
      <c r="E15" s="253"/>
      <c r="F15" s="253"/>
      <c r="G15" s="253"/>
      <c r="H15" s="253"/>
      <c r="I15" s="253"/>
      <c r="J15" s="253"/>
      <c r="K15" s="253"/>
      <c r="L15" s="253"/>
      <c r="M15" s="253"/>
      <c r="N15" s="253"/>
      <c r="O15" s="253"/>
      <c r="P15" s="253"/>
      <c r="Q15" s="253"/>
      <c r="R15" s="253"/>
    </row>
    <row r="16" spans="1:18" s="12" customFormat="1" ht="17.25" customHeight="1">
      <c r="A16" s="256"/>
      <c r="B16" s="335"/>
      <c r="C16" s="253"/>
      <c r="D16" s="253"/>
      <c r="E16" s="253"/>
      <c r="F16" s="253"/>
      <c r="G16" s="253"/>
      <c r="H16" s="253"/>
      <c r="I16" s="253"/>
      <c r="J16" s="253"/>
      <c r="K16" s="253"/>
      <c r="L16" s="253"/>
      <c r="M16" s="253"/>
      <c r="N16" s="253"/>
      <c r="O16" s="253"/>
      <c r="P16" s="253"/>
      <c r="Q16" s="253"/>
      <c r="R16" s="253"/>
    </row>
    <row r="17" spans="1:18" ht="18" customHeight="1">
      <c r="A17" s="243" t="s">
        <v>100</v>
      </c>
      <c r="B17" s="244" t="s">
        <v>707</v>
      </c>
      <c r="C17" s="245"/>
      <c r="D17" s="245"/>
      <c r="E17" s="245"/>
      <c r="F17" s="245"/>
      <c r="G17" s="245"/>
      <c r="H17" s="245"/>
      <c r="I17" s="245"/>
      <c r="J17" s="245"/>
      <c r="K17" s="245"/>
      <c r="L17" s="245"/>
      <c r="M17" s="245"/>
      <c r="N17" s="245"/>
      <c r="O17" s="245"/>
      <c r="P17" s="245"/>
      <c r="Q17" s="245"/>
      <c r="R17" s="246"/>
    </row>
    <row r="18" spans="1:18">
      <c r="A18" s="247"/>
      <c r="B18" s="248" t="s">
        <v>831</v>
      </c>
      <c r="C18" s="248"/>
      <c r="D18" s="248"/>
      <c r="E18" s="248"/>
      <c r="F18" s="248"/>
      <c r="G18" s="248"/>
      <c r="H18" s="248"/>
      <c r="I18" s="248"/>
      <c r="J18" s="248"/>
      <c r="K18" s="248"/>
      <c r="L18" s="248"/>
      <c r="M18" s="248"/>
      <c r="N18" s="248"/>
      <c r="O18" s="248"/>
      <c r="P18" s="248"/>
      <c r="Q18" s="248"/>
      <c r="R18" s="249"/>
    </row>
    <row r="19" spans="1:18">
      <c r="A19" s="247"/>
      <c r="B19" s="248" t="s">
        <v>832</v>
      </c>
      <c r="C19" s="248"/>
      <c r="D19" s="248"/>
      <c r="E19" s="248"/>
      <c r="F19" s="248"/>
      <c r="G19" s="248"/>
      <c r="H19" s="248"/>
      <c r="I19" s="248"/>
      <c r="J19" s="248"/>
      <c r="K19" s="248"/>
      <c r="L19" s="248"/>
      <c r="M19" s="248"/>
      <c r="N19" s="248"/>
      <c r="O19" s="248"/>
      <c r="P19" s="248"/>
      <c r="Q19" s="248"/>
      <c r="R19" s="249"/>
    </row>
    <row r="21" spans="1:18">
      <c r="A21" s="4" t="s">
        <v>117</v>
      </c>
      <c r="B21" s="134" t="s">
        <v>732</v>
      </c>
    </row>
    <row r="23" spans="1:18">
      <c r="C23" s="4" t="s">
        <v>708</v>
      </c>
      <c r="D23" s="4" t="s">
        <v>709</v>
      </c>
      <c r="E23" s="4" t="s">
        <v>710</v>
      </c>
      <c r="F23" s="4" t="s">
        <v>711</v>
      </c>
      <c r="G23" s="4" t="s">
        <v>712</v>
      </c>
    </row>
    <row r="24" spans="1:18">
      <c r="B24" s="4" t="s">
        <v>713</v>
      </c>
      <c r="C24" s="4">
        <v>4514</v>
      </c>
      <c r="D24" s="4">
        <v>196</v>
      </c>
      <c r="E24" s="4">
        <v>284</v>
      </c>
      <c r="G24" s="4">
        <f>+SUM(C24:F24)</f>
        <v>4994</v>
      </c>
    </row>
    <row r="25" spans="1:18">
      <c r="B25" s="4" t="s">
        <v>714</v>
      </c>
      <c r="C25" s="4">
        <v>4303</v>
      </c>
      <c r="D25" s="4">
        <v>136</v>
      </c>
      <c r="E25" s="4">
        <v>10</v>
      </c>
      <c r="G25" s="4">
        <f t="shared" ref="G25:G28" si="0">+SUM(C25:F25)</f>
        <v>4449</v>
      </c>
    </row>
    <row r="26" spans="1:18">
      <c r="B26" s="50" t="s">
        <v>715</v>
      </c>
      <c r="C26" s="115">
        <f>+C25/C24</f>
        <v>0.95325653522374831</v>
      </c>
      <c r="D26" s="115">
        <f t="shared" ref="D26:E26" si="1">+D25/D24</f>
        <v>0.69387755102040816</v>
      </c>
      <c r="E26" s="115">
        <f t="shared" si="1"/>
        <v>3.5211267605633804E-2</v>
      </c>
      <c r="F26" s="115"/>
      <c r="G26" s="115">
        <f>ROUND(G25/G24,4)</f>
        <v>0.89090000000000003</v>
      </c>
    </row>
    <row r="27" spans="1:18">
      <c r="B27" s="4" t="s">
        <v>716</v>
      </c>
      <c r="C27" s="4">
        <v>323</v>
      </c>
      <c r="D27" s="4">
        <v>101</v>
      </c>
      <c r="E27" s="4">
        <v>30</v>
      </c>
      <c r="F27" s="4">
        <v>20</v>
      </c>
      <c r="G27" s="4">
        <f t="shared" si="0"/>
        <v>474</v>
      </c>
    </row>
    <row r="28" spans="1:18">
      <c r="B28" s="4" t="s">
        <v>717</v>
      </c>
      <c r="C28" s="4">
        <f>+C24-SUM(C25,C27)</f>
        <v>-112</v>
      </c>
      <c r="D28" s="4">
        <f t="shared" ref="D28:F28" si="2">+D24-SUM(D25,D27)</f>
        <v>-41</v>
      </c>
      <c r="E28" s="4">
        <f t="shared" si="2"/>
        <v>244</v>
      </c>
      <c r="F28" s="4">
        <f t="shared" si="2"/>
        <v>-20</v>
      </c>
      <c r="G28" s="4">
        <f t="shared" si="0"/>
        <v>71</v>
      </c>
    </row>
    <row r="30" spans="1:18">
      <c r="A30" s="4" t="s">
        <v>718</v>
      </c>
      <c r="B30" s="134" t="s">
        <v>719</v>
      </c>
    </row>
    <row r="31" spans="1:18">
      <c r="B31" s="4" t="s">
        <v>720</v>
      </c>
    </row>
    <row r="32" spans="1:18">
      <c r="C32" s="4" t="s">
        <v>716</v>
      </c>
      <c r="E32" s="4" t="s">
        <v>722</v>
      </c>
      <c r="G32" s="4" t="s">
        <v>724</v>
      </c>
    </row>
    <row r="33" spans="1:18">
      <c r="C33" s="4">
        <f>+G27</f>
        <v>474</v>
      </c>
      <c r="D33" s="4" t="s">
        <v>721</v>
      </c>
      <c r="E33" s="123">
        <f>1-G26</f>
        <v>0.10909999999999997</v>
      </c>
      <c r="F33" s="4" t="s">
        <v>723</v>
      </c>
      <c r="G33" s="34">
        <f>+C33/E33</f>
        <v>4344.6379468377645</v>
      </c>
      <c r="H33" s="64" t="s">
        <v>779</v>
      </c>
    </row>
    <row r="35" spans="1:18">
      <c r="B35" s="4" t="s">
        <v>782</v>
      </c>
      <c r="J35" s="335"/>
    </row>
    <row r="36" spans="1:18">
      <c r="C36" s="4" t="s">
        <v>863</v>
      </c>
      <c r="J36" s="346"/>
    </row>
    <row r="37" spans="1:18">
      <c r="C37" s="64" t="s">
        <v>783</v>
      </c>
    </row>
    <row r="39" spans="1:18">
      <c r="A39" s="4" t="s">
        <v>725</v>
      </c>
      <c r="B39" s="134" t="s">
        <v>780</v>
      </c>
    </row>
    <row r="40" spans="1:18">
      <c r="C40" s="4" t="s">
        <v>708</v>
      </c>
      <c r="D40" s="4" t="s">
        <v>709</v>
      </c>
      <c r="E40" s="4" t="s">
        <v>710</v>
      </c>
      <c r="F40" s="4" t="s">
        <v>711</v>
      </c>
      <c r="G40" s="4" t="s">
        <v>712</v>
      </c>
    </row>
    <row r="41" spans="1:18" ht="16.8" thickBot="1">
      <c r="B41" s="4" t="s">
        <v>713</v>
      </c>
      <c r="C41" s="126">
        <v>4514</v>
      </c>
      <c r="D41" s="32">
        <f>+D24*1.1</f>
        <v>215.60000000000002</v>
      </c>
      <c r="E41" s="126">
        <v>284</v>
      </c>
      <c r="G41" s="4">
        <f>+SUM(C41:F41)</f>
        <v>5013.6000000000004</v>
      </c>
      <c r="H41" s="4" t="s">
        <v>727</v>
      </c>
    </row>
    <row r="42" spans="1:18" ht="16.8" thickBot="1">
      <c r="B42" s="4" t="s">
        <v>714</v>
      </c>
      <c r="C42" s="300">
        <f>+G42-SUM(D42:E42)</f>
        <v>4130</v>
      </c>
      <c r="D42" s="301">
        <f>+D25*1.1</f>
        <v>149.60000000000002</v>
      </c>
      <c r="E42" s="302">
        <v>10</v>
      </c>
      <c r="F42" s="303"/>
      <c r="G42" s="304">
        <f>+G41-SUM(G44:G45)</f>
        <v>4289.6000000000004</v>
      </c>
      <c r="H42" s="4" t="s">
        <v>730</v>
      </c>
    </row>
    <row r="43" spans="1:18">
      <c r="B43" s="50" t="s">
        <v>731</v>
      </c>
      <c r="C43" s="115">
        <f>+C42/C41</f>
        <v>0.91493132476739036</v>
      </c>
      <c r="D43" s="294">
        <f t="shared" ref="D43" si="3">+D42/D41</f>
        <v>0.69387755102040816</v>
      </c>
      <c r="E43" s="294">
        <f t="shared" ref="E43" si="4">+E42/E41</f>
        <v>3.5211267605633804E-2</v>
      </c>
      <c r="F43" s="267"/>
      <c r="G43" s="297"/>
    </row>
    <row r="44" spans="1:18">
      <c r="B44" s="4" t="s">
        <v>716</v>
      </c>
      <c r="C44" s="4">
        <v>323</v>
      </c>
      <c r="D44" s="4">
        <v>101</v>
      </c>
      <c r="E44" s="126">
        <v>30</v>
      </c>
      <c r="F44" s="4">
        <v>20</v>
      </c>
      <c r="G44" s="298">
        <f t="shared" ref="G44" si="5">+SUM(C44:F44)</f>
        <v>474</v>
      </c>
      <c r="H44" s="4" t="s">
        <v>728</v>
      </c>
    </row>
    <row r="45" spans="1:18" ht="16.8" thickBot="1">
      <c r="B45" s="4" t="s">
        <v>726</v>
      </c>
      <c r="G45" s="299">
        <v>250</v>
      </c>
      <c r="H45" s="4" t="s">
        <v>729</v>
      </c>
    </row>
    <row r="47" spans="1:18" ht="18" customHeight="1">
      <c r="A47" s="243" t="s">
        <v>312</v>
      </c>
      <c r="B47" s="245" t="s">
        <v>733</v>
      </c>
      <c r="C47" s="245"/>
      <c r="D47" s="245"/>
      <c r="E47" s="245"/>
      <c r="F47" s="245"/>
      <c r="G47" s="245"/>
      <c r="H47" s="245"/>
      <c r="I47" s="245"/>
      <c r="J47" s="245"/>
      <c r="K47" s="245"/>
      <c r="L47" s="245"/>
      <c r="M47" s="245"/>
      <c r="N47" s="245"/>
      <c r="O47" s="245"/>
      <c r="P47" s="245"/>
      <c r="Q47" s="245"/>
      <c r="R47" s="246"/>
    </row>
    <row r="48" spans="1:18">
      <c r="A48" s="247"/>
      <c r="B48" s="248" t="s">
        <v>837</v>
      </c>
      <c r="C48" s="248"/>
      <c r="D48" s="248"/>
      <c r="E48" s="248"/>
      <c r="F48" s="248"/>
      <c r="G48" s="248"/>
      <c r="H48" s="248"/>
      <c r="I48" s="248"/>
      <c r="J48" s="248"/>
      <c r="K48" s="248"/>
      <c r="L48" s="248"/>
      <c r="M48" s="248"/>
      <c r="N48" s="248"/>
      <c r="O48" s="248"/>
      <c r="P48" s="248"/>
      <c r="Q48" s="248"/>
      <c r="R48" s="249"/>
    </row>
    <row r="49" spans="1:18">
      <c r="A49" s="247"/>
      <c r="B49" s="248" t="s">
        <v>838</v>
      </c>
      <c r="C49" s="248"/>
      <c r="D49" s="248"/>
      <c r="E49" s="248"/>
      <c r="F49" s="248"/>
      <c r="G49" s="248"/>
      <c r="H49" s="248"/>
      <c r="I49" s="248"/>
      <c r="J49" s="248"/>
      <c r="K49" s="248"/>
      <c r="L49" s="248"/>
      <c r="M49" s="248"/>
      <c r="N49" s="248"/>
      <c r="O49" s="248"/>
      <c r="P49" s="248"/>
      <c r="Q49" s="248"/>
      <c r="R49" s="249"/>
    </row>
    <row r="51" spans="1:18">
      <c r="A51" s="4" t="s">
        <v>117</v>
      </c>
      <c r="B51" s="4" t="s">
        <v>734</v>
      </c>
    </row>
    <row r="52" spans="1:18">
      <c r="B52" s="4" t="s">
        <v>735</v>
      </c>
    </row>
    <row r="54" spans="1:18">
      <c r="B54" s="4" t="s">
        <v>751</v>
      </c>
      <c r="I54" s="4" t="s">
        <v>736</v>
      </c>
    </row>
    <row r="55" spans="1:18">
      <c r="C55" s="4" t="s">
        <v>762</v>
      </c>
      <c r="D55" s="4" t="s">
        <v>763</v>
      </c>
      <c r="E55" s="4" t="s">
        <v>764</v>
      </c>
      <c r="F55" s="4" t="s">
        <v>765</v>
      </c>
      <c r="G55" s="4" t="s">
        <v>766</v>
      </c>
      <c r="H55" s="4" t="s">
        <v>712</v>
      </c>
      <c r="I55" s="4" t="s">
        <v>738</v>
      </c>
      <c r="K55" s="4" t="s">
        <v>737</v>
      </c>
    </row>
    <row r="56" spans="1:18">
      <c r="B56" s="4" t="s">
        <v>752</v>
      </c>
      <c r="C56" s="4">
        <v>20</v>
      </c>
      <c r="D56" s="4">
        <v>42</v>
      </c>
      <c r="E56" s="4">
        <v>60</v>
      </c>
      <c r="F56" s="4">
        <v>45</v>
      </c>
      <c r="G56" s="4">
        <v>35</v>
      </c>
      <c r="I56" s="71" t="s">
        <v>739</v>
      </c>
      <c r="J56" s="73" t="s">
        <v>746</v>
      </c>
      <c r="K56" s="71" t="s">
        <v>713</v>
      </c>
      <c r="L56" s="73" t="s">
        <v>745</v>
      </c>
    </row>
    <row r="57" spans="1:18">
      <c r="B57" s="4" t="s">
        <v>753</v>
      </c>
      <c r="C57" s="4">
        <v>8</v>
      </c>
      <c r="D57" s="4">
        <v>15</v>
      </c>
      <c r="E57" s="4">
        <v>20</v>
      </c>
      <c r="F57" s="4">
        <v>14</v>
      </c>
      <c r="G57" s="4">
        <v>10</v>
      </c>
      <c r="H57" s="134">
        <f>SUM(C57:G57)</f>
        <v>67</v>
      </c>
      <c r="I57" s="74" t="s">
        <v>740</v>
      </c>
      <c r="J57" s="75"/>
      <c r="K57" s="74"/>
      <c r="L57" s="75"/>
    </row>
    <row r="58" spans="1:18">
      <c r="B58" s="4" t="s">
        <v>754</v>
      </c>
      <c r="C58" s="4">
        <v>8</v>
      </c>
      <c r="D58" s="4">
        <v>12</v>
      </c>
      <c r="E58" s="4">
        <v>12</v>
      </c>
      <c r="F58" s="4">
        <v>11</v>
      </c>
      <c r="G58" s="4">
        <v>6</v>
      </c>
      <c r="H58" s="134">
        <f>SUM(C58:G58)</f>
        <v>49</v>
      </c>
      <c r="I58" s="74" t="s">
        <v>741</v>
      </c>
      <c r="J58" s="75"/>
      <c r="K58" s="74"/>
      <c r="L58" s="75"/>
    </row>
    <row r="59" spans="1:18">
      <c r="B59" s="4" t="s">
        <v>755</v>
      </c>
      <c r="C59" s="4">
        <v>5</v>
      </c>
      <c r="D59" s="4">
        <v>5</v>
      </c>
      <c r="E59" s="4">
        <v>5</v>
      </c>
      <c r="F59" s="4">
        <v>5</v>
      </c>
      <c r="G59" s="4">
        <v>5</v>
      </c>
      <c r="I59" s="74" t="s">
        <v>742</v>
      </c>
      <c r="J59" s="75"/>
      <c r="K59" s="74"/>
      <c r="L59" s="75"/>
    </row>
    <row r="60" spans="1:18">
      <c r="B60" s="4" t="s">
        <v>756</v>
      </c>
      <c r="C60" s="4">
        <v>2</v>
      </c>
      <c r="D60" s="4">
        <v>3</v>
      </c>
      <c r="E60" s="4">
        <v>4</v>
      </c>
      <c r="F60" s="4">
        <v>3</v>
      </c>
      <c r="G60" s="4">
        <v>2</v>
      </c>
      <c r="I60" s="76"/>
      <c r="J60" s="77"/>
      <c r="K60" s="74"/>
      <c r="L60" s="75"/>
    </row>
    <row r="61" spans="1:18">
      <c r="B61" s="4" t="s">
        <v>757</v>
      </c>
      <c r="C61" s="4">
        <f>SUM(C57:C60)</f>
        <v>23</v>
      </c>
      <c r="D61" s="4">
        <f t="shared" ref="D61:G61" si="6">SUM(D57:D60)</f>
        <v>35</v>
      </c>
      <c r="E61" s="4">
        <f t="shared" si="6"/>
        <v>41</v>
      </c>
      <c r="F61" s="4">
        <f t="shared" si="6"/>
        <v>33</v>
      </c>
      <c r="G61" s="4">
        <f t="shared" si="6"/>
        <v>23</v>
      </c>
      <c r="I61" s="80" t="s">
        <v>743</v>
      </c>
      <c r="J61" s="81" t="s">
        <v>747</v>
      </c>
      <c r="K61" s="74"/>
      <c r="L61" s="75"/>
    </row>
    <row r="62" spans="1:18" ht="16.8" thickBot="1">
      <c r="B62" s="85" t="s">
        <v>758</v>
      </c>
      <c r="C62" s="4">
        <v>4</v>
      </c>
      <c r="D62" s="4">
        <v>4</v>
      </c>
      <c r="E62" s="4">
        <v>4</v>
      </c>
      <c r="F62" s="4">
        <v>4</v>
      </c>
      <c r="G62" s="4">
        <v>4</v>
      </c>
      <c r="I62" s="82"/>
      <c r="J62" s="83"/>
      <c r="K62" s="74"/>
      <c r="L62" s="75"/>
    </row>
    <row r="63" spans="1:18">
      <c r="B63" s="4" t="s">
        <v>744</v>
      </c>
      <c r="C63" s="305">
        <f>+C56-SUM(C61:C62)</f>
        <v>-7</v>
      </c>
      <c r="D63" s="4">
        <f t="shared" ref="D63:G63" si="7">+D56-SUM(D61:D62)</f>
        <v>3</v>
      </c>
      <c r="E63" s="4">
        <f t="shared" si="7"/>
        <v>15</v>
      </c>
      <c r="F63" s="4">
        <f t="shared" si="7"/>
        <v>8</v>
      </c>
      <c r="G63" s="4">
        <f t="shared" si="7"/>
        <v>8</v>
      </c>
      <c r="I63" s="74" t="s">
        <v>744</v>
      </c>
      <c r="J63" s="191" t="s">
        <v>748</v>
      </c>
      <c r="K63" s="74"/>
      <c r="L63" s="75"/>
    </row>
    <row r="64" spans="1:18">
      <c r="B64" s="85" t="s">
        <v>759</v>
      </c>
      <c r="C64" s="306">
        <f>+C63*0.7</f>
        <v>-4.8999999999999995</v>
      </c>
      <c r="D64" s="117">
        <f t="shared" ref="D64:G64" si="8">+D63*0.7</f>
        <v>2.0999999999999996</v>
      </c>
      <c r="E64" s="117">
        <f t="shared" si="8"/>
        <v>10.5</v>
      </c>
      <c r="F64" s="117">
        <f t="shared" si="8"/>
        <v>5.6</v>
      </c>
      <c r="G64" s="117">
        <f t="shared" si="8"/>
        <v>5.6</v>
      </c>
      <c r="I64" s="76" t="s">
        <v>749</v>
      </c>
      <c r="J64" s="295" t="s">
        <v>750</v>
      </c>
      <c r="K64" s="76"/>
      <c r="L64" s="77"/>
    </row>
    <row r="65" spans="1:10" ht="16.8" thickBot="1">
      <c r="B65" s="85" t="s">
        <v>760</v>
      </c>
      <c r="C65" s="307">
        <f>+C62+C64</f>
        <v>-0.89999999999999947</v>
      </c>
      <c r="D65" s="70">
        <f t="shared" ref="D65:G65" si="9">+D62+D64</f>
        <v>6.1</v>
      </c>
      <c r="E65" s="70">
        <f t="shared" si="9"/>
        <v>14.5</v>
      </c>
      <c r="F65" s="70">
        <f t="shared" si="9"/>
        <v>9.6</v>
      </c>
      <c r="G65" s="70">
        <f t="shared" si="9"/>
        <v>9.6</v>
      </c>
      <c r="J65" s="85" t="s">
        <v>761</v>
      </c>
    </row>
    <row r="66" spans="1:10">
      <c r="C66" s="4" t="s">
        <v>784</v>
      </c>
      <c r="J66" s="85"/>
    </row>
    <row r="67" spans="1:10">
      <c r="C67" s="4" t="s">
        <v>785</v>
      </c>
      <c r="J67" s="85"/>
    </row>
    <row r="68" spans="1:10">
      <c r="C68" s="4" t="s">
        <v>786</v>
      </c>
    </row>
    <row r="70" spans="1:10">
      <c r="A70" s="4" t="s">
        <v>718</v>
      </c>
      <c r="B70" s="4" t="s">
        <v>767</v>
      </c>
    </row>
    <row r="71" spans="1:10">
      <c r="B71" s="4" t="s">
        <v>768</v>
      </c>
    </row>
    <row r="72" spans="1:10">
      <c r="B72" s="4" t="s">
        <v>769</v>
      </c>
    </row>
    <row r="73" spans="1:10">
      <c r="B73" s="4">
        <v>20</v>
      </c>
      <c r="C73" s="296">
        <f>+C65</f>
        <v>-0.89999999999999947</v>
      </c>
      <c r="D73" s="296">
        <f t="shared" ref="D73:G73" si="10">+D65</f>
        <v>6.1</v>
      </c>
      <c r="E73" s="296">
        <f t="shared" si="10"/>
        <v>14.5</v>
      </c>
      <c r="F73" s="117">
        <f t="shared" si="10"/>
        <v>9.6</v>
      </c>
      <c r="G73" s="117">
        <f t="shared" si="10"/>
        <v>9.6</v>
      </c>
    </row>
    <row r="74" spans="1:10">
      <c r="C74" s="429">
        <f>+SUM(C73:E73)</f>
        <v>19.7</v>
      </c>
      <c r="D74" s="429"/>
      <c r="E74" s="429"/>
      <c r="F74" s="53">
        <f>+(B73-C74)/F73</f>
        <v>3.1250000000000076E-2</v>
      </c>
      <c r="G74" s="4" t="s">
        <v>771</v>
      </c>
    </row>
    <row r="75" spans="1:10">
      <c r="C75" s="430">
        <v>3</v>
      </c>
      <c r="D75" s="430"/>
      <c r="E75" s="430"/>
      <c r="F75" s="88">
        <f>+C75+F74</f>
        <v>3.03125</v>
      </c>
      <c r="G75" s="4" t="s">
        <v>770</v>
      </c>
    </row>
    <row r="77" spans="1:10">
      <c r="B77" s="4" t="s">
        <v>772</v>
      </c>
    </row>
    <row r="78" spans="1:10">
      <c r="B78" s="4" t="s">
        <v>769</v>
      </c>
      <c r="C78" s="4" t="s">
        <v>773</v>
      </c>
    </row>
    <row r="79" spans="1:10">
      <c r="C79" s="273">
        <v>0.95199999999999996</v>
      </c>
      <c r="D79" s="273">
        <v>0.90700000000000003</v>
      </c>
      <c r="E79" s="273">
        <v>0.86399999999999999</v>
      </c>
      <c r="F79" s="273">
        <v>0.82299999999999995</v>
      </c>
      <c r="G79" s="273">
        <v>0.78400000000000003</v>
      </c>
      <c r="H79" s="4" t="s">
        <v>774</v>
      </c>
    </row>
    <row r="80" spans="1:10">
      <c r="A80" s="50" t="s">
        <v>776</v>
      </c>
      <c r="B80" s="4">
        <v>-20</v>
      </c>
      <c r="C80" s="53">
        <f>+C65*C79</f>
        <v>-0.85679999999999945</v>
      </c>
      <c r="D80" s="53">
        <f>+D65*D79</f>
        <v>5.5327000000000002</v>
      </c>
      <c r="E80" s="53">
        <f>+E65*E79</f>
        <v>12.528</v>
      </c>
      <c r="F80" s="53">
        <f>+F65*F79</f>
        <v>7.9007999999999994</v>
      </c>
      <c r="G80" s="53">
        <f>+G65*G79</f>
        <v>7.5263999999999998</v>
      </c>
      <c r="H80" s="4" t="s">
        <v>775</v>
      </c>
    </row>
    <row r="81" spans="1:10">
      <c r="A81" s="50" t="s">
        <v>777</v>
      </c>
      <c r="B81" s="88">
        <f>SUM(B80:G80)</f>
        <v>12.6311</v>
      </c>
    </row>
    <row r="83" spans="1:10">
      <c r="A83" s="321" t="s">
        <v>725</v>
      </c>
      <c r="B83" s="322" t="s">
        <v>795</v>
      </c>
      <c r="C83" s="322"/>
      <c r="D83" s="322"/>
      <c r="E83" s="322"/>
      <c r="F83" s="322"/>
      <c r="G83" s="322"/>
      <c r="H83" s="322"/>
      <c r="I83" s="322"/>
      <c r="J83" s="323"/>
    </row>
    <row r="84" spans="1:10">
      <c r="A84" s="324"/>
      <c r="B84" s="57" t="s">
        <v>778</v>
      </c>
      <c r="C84" s="57"/>
      <c r="D84" s="57"/>
      <c r="E84" s="57"/>
      <c r="F84" s="57"/>
      <c r="G84" s="57"/>
      <c r="H84" s="57"/>
      <c r="I84" s="57"/>
      <c r="J84" s="325"/>
    </row>
    <row r="85" spans="1:10">
      <c r="A85" s="324"/>
      <c r="B85" s="57"/>
      <c r="C85" s="57"/>
      <c r="D85" s="57"/>
      <c r="E85" s="57"/>
      <c r="F85" s="57"/>
      <c r="G85" s="57"/>
      <c r="H85" s="57"/>
      <c r="I85" s="57"/>
      <c r="J85" s="325"/>
    </row>
    <row r="86" spans="1:10">
      <c r="A86" s="324"/>
      <c r="B86" s="57"/>
      <c r="C86" s="57" t="s">
        <v>275</v>
      </c>
      <c r="D86" s="57" t="s">
        <v>112</v>
      </c>
      <c r="E86" s="57" t="s">
        <v>111</v>
      </c>
      <c r="F86" s="57" t="s">
        <v>276</v>
      </c>
      <c r="G86" s="57" t="s">
        <v>277</v>
      </c>
      <c r="H86" s="57"/>
      <c r="I86" s="57"/>
      <c r="J86" s="325"/>
    </row>
    <row r="87" spans="1:10">
      <c r="A87" s="324" t="s">
        <v>796</v>
      </c>
      <c r="B87" s="57">
        <v>-30</v>
      </c>
      <c r="C87" s="57"/>
      <c r="D87" s="57"/>
      <c r="E87" s="57"/>
      <c r="F87" s="57"/>
      <c r="G87" s="57"/>
      <c r="H87" s="57"/>
      <c r="I87" s="57"/>
      <c r="J87" s="325"/>
    </row>
    <row r="88" spans="1:10">
      <c r="A88" s="324" t="s">
        <v>752</v>
      </c>
      <c r="B88" s="57"/>
      <c r="C88" s="57">
        <v>20</v>
      </c>
      <c r="D88" s="57">
        <v>42</v>
      </c>
      <c r="E88" s="57">
        <v>60</v>
      </c>
      <c r="F88" s="57">
        <v>45</v>
      </c>
      <c r="G88" s="57">
        <v>35</v>
      </c>
      <c r="H88" s="57"/>
      <c r="I88" s="57"/>
      <c r="J88" s="325"/>
    </row>
    <row r="89" spans="1:10">
      <c r="A89" s="324" t="s">
        <v>798</v>
      </c>
      <c r="B89" s="57"/>
      <c r="C89" s="57">
        <f>-SUM(C57:C58)</f>
        <v>-16</v>
      </c>
      <c r="D89" s="57">
        <f t="shared" ref="D89:G89" si="11">-SUM(D57:D58)</f>
        <v>-27</v>
      </c>
      <c r="E89" s="57">
        <f t="shared" si="11"/>
        <v>-32</v>
      </c>
      <c r="F89" s="57">
        <f t="shared" si="11"/>
        <v>-25</v>
      </c>
      <c r="G89" s="57">
        <f t="shared" si="11"/>
        <v>-16</v>
      </c>
      <c r="H89" s="57" t="s">
        <v>797</v>
      </c>
      <c r="I89" s="57"/>
      <c r="J89" s="325"/>
    </row>
    <row r="90" spans="1:10">
      <c r="A90" s="324" t="s">
        <v>800</v>
      </c>
      <c r="B90" s="57"/>
      <c r="C90" s="57">
        <f>-SUM(C59,C60,6)</f>
        <v>-13</v>
      </c>
      <c r="D90" s="57">
        <f t="shared" ref="D90:G90" si="12">-SUM(D59,D60,6)</f>
        <v>-14</v>
      </c>
      <c r="E90" s="57">
        <f t="shared" si="12"/>
        <v>-15</v>
      </c>
      <c r="F90" s="57">
        <f t="shared" si="12"/>
        <v>-14</v>
      </c>
      <c r="G90" s="57">
        <f t="shared" si="12"/>
        <v>-13</v>
      </c>
      <c r="H90" s="57"/>
      <c r="I90" s="57"/>
      <c r="J90" s="325"/>
    </row>
    <row r="91" spans="1:10">
      <c r="A91" s="326" t="s">
        <v>801</v>
      </c>
      <c r="B91" s="57"/>
      <c r="C91" s="57">
        <v>6</v>
      </c>
      <c r="D91" s="57">
        <v>6</v>
      </c>
      <c r="E91" s="57">
        <v>6</v>
      </c>
      <c r="F91" s="57">
        <v>6</v>
      </c>
      <c r="G91" s="57">
        <v>6</v>
      </c>
      <c r="H91" s="57"/>
      <c r="I91" s="57"/>
      <c r="J91" s="325"/>
    </row>
    <row r="92" spans="1:10">
      <c r="A92" s="327"/>
      <c r="B92" s="315"/>
      <c r="C92" s="315"/>
      <c r="D92" s="315"/>
      <c r="E92" s="315"/>
      <c r="F92" s="315"/>
      <c r="G92" s="315"/>
      <c r="H92" s="315"/>
      <c r="I92" s="315"/>
      <c r="J92" s="325"/>
    </row>
    <row r="93" spans="1:10">
      <c r="A93" s="327" t="s">
        <v>799</v>
      </c>
      <c r="B93" s="315"/>
      <c r="C93" s="315"/>
      <c r="D93" s="315"/>
      <c r="E93" s="315"/>
      <c r="F93" s="315"/>
      <c r="G93" s="315"/>
      <c r="H93" s="315"/>
      <c r="I93" s="315"/>
      <c r="J93" s="325"/>
    </row>
    <row r="94" spans="1:10">
      <c r="A94" s="326" t="s">
        <v>752</v>
      </c>
      <c r="B94" s="112">
        <f>+SUM(C94:G94)</f>
        <v>121.4143</v>
      </c>
      <c r="C94" s="316">
        <f>+C88*C79*0.7</f>
        <v>13.327999999999999</v>
      </c>
      <c r="D94" s="316">
        <f t="shared" ref="D94:G94" si="13">+D88*D79*0.7</f>
        <v>26.665800000000001</v>
      </c>
      <c r="E94" s="316">
        <f t="shared" si="13"/>
        <v>36.287999999999997</v>
      </c>
      <c r="F94" s="316">
        <f t="shared" si="13"/>
        <v>25.924499999999995</v>
      </c>
      <c r="G94" s="316">
        <f t="shared" si="13"/>
        <v>19.207999999999998</v>
      </c>
      <c r="H94" s="315"/>
      <c r="I94" s="315"/>
      <c r="J94" s="325"/>
    </row>
    <row r="95" spans="1:10">
      <c r="A95" s="326" t="s">
        <v>798</v>
      </c>
      <c r="B95" s="314">
        <f>-SUM(B87,B94,B96:B97,-B81)</f>
        <v>-62.939599999999999</v>
      </c>
      <c r="C95" s="311">
        <f>+C89*C79*0.7</f>
        <v>-10.662399999999998</v>
      </c>
      <c r="D95" s="312">
        <f t="shared" ref="D95:G95" si="14">+D89*D79*0.7</f>
        <v>-17.142299999999999</v>
      </c>
      <c r="E95" s="312">
        <f t="shared" si="14"/>
        <v>-19.3536</v>
      </c>
      <c r="F95" s="312">
        <f t="shared" si="14"/>
        <v>-14.402499999999998</v>
      </c>
      <c r="G95" s="313">
        <f t="shared" si="14"/>
        <v>-8.7807999999999993</v>
      </c>
      <c r="H95" s="317">
        <f>+SUM(C95:G95)</f>
        <v>-70.3416</v>
      </c>
      <c r="I95" s="318" t="s">
        <v>803</v>
      </c>
      <c r="J95" s="325"/>
    </row>
    <row r="96" spans="1:10">
      <c r="A96" s="326" t="s">
        <v>800</v>
      </c>
      <c r="B96" s="112">
        <f>+SUM(C96:G96)</f>
        <v>-41.823599999999999</v>
      </c>
      <c r="C96" s="319">
        <f>+C90*C79*0.7</f>
        <v>-8.6631999999999998</v>
      </c>
      <c r="D96" s="319">
        <f t="shared" ref="D96:G96" si="15">+D90*D79*0.7</f>
        <v>-8.8886000000000003</v>
      </c>
      <c r="E96" s="319">
        <f t="shared" si="15"/>
        <v>-9.0719999999999992</v>
      </c>
      <c r="F96" s="319">
        <f t="shared" si="15"/>
        <v>-8.0653999999999986</v>
      </c>
      <c r="G96" s="319">
        <f t="shared" si="15"/>
        <v>-7.1343999999999994</v>
      </c>
      <c r="H96" s="320" t="s">
        <v>804</v>
      </c>
      <c r="I96" s="331">
        <f>1-(B95/H95)</f>
        <v>0.10522933797354628</v>
      </c>
      <c r="J96" s="325"/>
    </row>
    <row r="97" spans="1:18">
      <c r="A97" s="324" t="s">
        <v>801</v>
      </c>
      <c r="B97" s="112">
        <f>+SUM(C97:G97)</f>
        <v>25.98</v>
      </c>
      <c r="C97" s="319">
        <f>+C91*C79</f>
        <v>5.7119999999999997</v>
      </c>
      <c r="D97" s="319">
        <f t="shared" ref="D97:G97" si="16">+D91*D79</f>
        <v>5.4420000000000002</v>
      </c>
      <c r="E97" s="319">
        <f t="shared" si="16"/>
        <v>5.1840000000000002</v>
      </c>
      <c r="F97" s="319">
        <f t="shared" si="16"/>
        <v>4.9379999999999997</v>
      </c>
      <c r="G97" s="319">
        <f t="shared" si="16"/>
        <v>4.7040000000000006</v>
      </c>
      <c r="H97" s="57"/>
      <c r="I97" s="57"/>
      <c r="J97" s="325"/>
    </row>
    <row r="98" spans="1:18">
      <c r="A98" s="324"/>
      <c r="B98" s="57"/>
      <c r="C98" s="57"/>
      <c r="D98" s="57"/>
      <c r="E98" s="57"/>
      <c r="F98" s="57"/>
      <c r="G98" s="57"/>
      <c r="H98" s="57"/>
      <c r="I98" s="57"/>
      <c r="J98" s="325"/>
    </row>
    <row r="99" spans="1:18">
      <c r="A99" s="328" t="s">
        <v>802</v>
      </c>
      <c r="B99" s="329"/>
      <c r="C99" s="329"/>
      <c r="D99" s="329"/>
      <c r="E99" s="329"/>
      <c r="F99" s="329"/>
      <c r="G99" s="329"/>
      <c r="H99" s="329"/>
      <c r="I99" s="329"/>
      <c r="J99" s="330"/>
    </row>
    <row r="101" spans="1:18" ht="18" customHeight="1">
      <c r="A101" s="245" t="s">
        <v>74</v>
      </c>
      <c r="B101" s="347" t="s">
        <v>851</v>
      </c>
      <c r="C101" s="245"/>
      <c r="D101" s="245"/>
      <c r="E101" s="245"/>
      <c r="F101" s="245"/>
      <c r="G101" s="245"/>
      <c r="H101" s="245"/>
      <c r="I101" s="245"/>
      <c r="J101" s="245"/>
      <c r="K101" s="245"/>
      <c r="L101" s="245"/>
      <c r="M101" s="245"/>
      <c r="N101" s="245"/>
      <c r="O101" s="245"/>
      <c r="P101" s="245"/>
      <c r="Q101" s="245"/>
      <c r="R101" s="246"/>
    </row>
    <row r="102" spans="1:18">
      <c r="A102" s="250"/>
      <c r="B102" s="348" t="s">
        <v>852</v>
      </c>
      <c r="C102" s="251"/>
      <c r="D102" s="251"/>
      <c r="E102" s="251"/>
      <c r="F102" s="251"/>
      <c r="G102" s="251"/>
      <c r="H102" s="251"/>
      <c r="I102" s="251"/>
      <c r="J102" s="251"/>
      <c r="K102" s="251"/>
      <c r="L102" s="251"/>
      <c r="M102" s="251"/>
      <c r="N102" s="251"/>
      <c r="O102" s="251"/>
      <c r="P102" s="251"/>
      <c r="Q102" s="251"/>
      <c r="R102" s="252"/>
    </row>
    <row r="103" spans="1:18">
      <c r="B103" s="349" t="s">
        <v>853</v>
      </c>
    </row>
    <row r="104" spans="1:18">
      <c r="B104" s="350" t="s">
        <v>817</v>
      </c>
    </row>
    <row r="105" spans="1:18">
      <c r="B105" s="349" t="s">
        <v>849</v>
      </c>
    </row>
    <row r="106" spans="1:18">
      <c r="B106" s="349" t="s">
        <v>850</v>
      </c>
    </row>
    <row r="107" spans="1:18">
      <c r="B107" s="349" t="s">
        <v>854</v>
      </c>
    </row>
    <row r="108" spans="1:18">
      <c r="B108" s="350" t="s">
        <v>817</v>
      </c>
    </row>
    <row r="109" spans="1:18">
      <c r="B109" s="349" t="s">
        <v>844</v>
      </c>
    </row>
  </sheetData>
  <mergeCells count="2">
    <mergeCell ref="C74:E74"/>
    <mergeCell ref="C75:E75"/>
  </mergeCells>
  <phoneticPr fontId="3"/>
  <pageMargins left="0.25" right="0.25"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B9:J40"/>
  <sheetViews>
    <sheetView workbookViewId="0">
      <selection activeCell="C65" sqref="C65"/>
    </sheetView>
  </sheetViews>
  <sheetFormatPr defaultRowHeight="16.2"/>
  <cols>
    <col min="2" max="2" width="22.6640625" customWidth="1"/>
    <col min="3" max="3" width="113.44140625" customWidth="1"/>
    <col min="4" max="4" width="9.109375" customWidth="1"/>
    <col min="5" max="5" width="15.44140625" customWidth="1"/>
    <col min="6" max="10" width="19.44140625" bestFit="1" customWidth="1"/>
  </cols>
  <sheetData>
    <row r="9" spans="2:10" ht="16.8" thickBot="1">
      <c r="B9" t="s">
        <v>821</v>
      </c>
      <c r="E9" t="s">
        <v>859</v>
      </c>
    </row>
    <row r="10" spans="2:10">
      <c r="E10" s="341" t="s">
        <v>822</v>
      </c>
      <c r="F10" s="339" t="s">
        <v>805</v>
      </c>
      <c r="G10" s="336" t="s">
        <v>810</v>
      </c>
      <c r="H10" s="336" t="s">
        <v>809</v>
      </c>
      <c r="I10" s="336" t="s">
        <v>812</v>
      </c>
      <c r="J10" s="336" t="s">
        <v>813</v>
      </c>
    </row>
    <row r="11" spans="2:10">
      <c r="B11" s="431" t="s">
        <v>814</v>
      </c>
      <c r="C11" s="336" t="s">
        <v>806</v>
      </c>
      <c r="E11" s="342" t="s">
        <v>806</v>
      </c>
      <c r="F11" s="340" t="s">
        <v>806</v>
      </c>
      <c r="G11" s="338" t="s">
        <v>806</v>
      </c>
      <c r="H11" s="337" t="s">
        <v>806</v>
      </c>
      <c r="I11" s="336" t="s">
        <v>615</v>
      </c>
      <c r="J11" s="338" t="s">
        <v>806</v>
      </c>
    </row>
    <row r="12" spans="2:10">
      <c r="B12" s="431"/>
      <c r="C12" s="336" t="s">
        <v>830</v>
      </c>
      <c r="E12" s="342" t="s">
        <v>807</v>
      </c>
      <c r="F12" s="340" t="s">
        <v>807</v>
      </c>
      <c r="G12" s="336" t="s">
        <v>811</v>
      </c>
      <c r="H12" s="338" t="s">
        <v>807</v>
      </c>
      <c r="I12" s="338" t="s">
        <v>807</v>
      </c>
      <c r="J12" s="338" t="s">
        <v>807</v>
      </c>
    </row>
    <row r="13" spans="2:10" ht="16.8" thickBot="1">
      <c r="B13" s="431"/>
      <c r="C13" s="336" t="s">
        <v>808</v>
      </c>
      <c r="E13" s="343" t="s">
        <v>808</v>
      </c>
      <c r="F13" s="340" t="s">
        <v>808</v>
      </c>
      <c r="G13" s="338" t="s">
        <v>808</v>
      </c>
      <c r="H13" s="338" t="s">
        <v>808</v>
      </c>
      <c r="I13" s="338" t="s">
        <v>808</v>
      </c>
      <c r="J13" s="338" t="s">
        <v>808</v>
      </c>
    </row>
    <row r="14" spans="2:10" ht="18">
      <c r="B14" s="336" t="s">
        <v>827</v>
      </c>
      <c r="C14" s="344" t="s">
        <v>829</v>
      </c>
      <c r="D14" s="334"/>
    </row>
    <row r="15" spans="2:10" ht="48.6">
      <c r="B15" s="336" t="s">
        <v>824</v>
      </c>
      <c r="C15" s="344" t="s">
        <v>826</v>
      </c>
      <c r="D15" s="118"/>
      <c r="E15" s="332"/>
      <c r="F15" s="332"/>
      <c r="G15" s="333"/>
      <c r="H15" s="333"/>
      <c r="I15" s="333"/>
      <c r="J15" s="333"/>
    </row>
    <row r="17" spans="2:4">
      <c r="B17" t="s">
        <v>823</v>
      </c>
    </row>
    <row r="19" spans="2:4" ht="18">
      <c r="B19" s="336" t="s">
        <v>814</v>
      </c>
      <c r="C19" s="344" t="s">
        <v>835</v>
      </c>
      <c r="D19" s="334"/>
    </row>
    <row r="20" spans="2:4" ht="18">
      <c r="B20" s="336" t="s">
        <v>827</v>
      </c>
      <c r="C20" s="344" t="s">
        <v>828</v>
      </c>
      <c r="D20" s="334"/>
    </row>
    <row r="21" spans="2:4" ht="18">
      <c r="B21" s="336" t="s">
        <v>815</v>
      </c>
      <c r="C21" s="344" t="s">
        <v>825</v>
      </c>
      <c r="D21" s="334"/>
    </row>
    <row r="22" spans="2:4" ht="97.2">
      <c r="B22" s="344" t="s">
        <v>858</v>
      </c>
      <c r="C22" s="344" t="s">
        <v>857</v>
      </c>
      <c r="D22" s="118"/>
    </row>
    <row r="24" spans="2:4">
      <c r="B24" t="s">
        <v>833</v>
      </c>
    </row>
    <row r="25" spans="2:4">
      <c r="B25" s="345" t="s">
        <v>814</v>
      </c>
      <c r="C25" s="344" t="s">
        <v>861</v>
      </c>
    </row>
    <row r="26" spans="2:4" ht="32.4">
      <c r="B26" s="345" t="s">
        <v>827</v>
      </c>
      <c r="C26" s="344" t="s">
        <v>834</v>
      </c>
    </row>
    <row r="27" spans="2:4" ht="194.4">
      <c r="B27" s="345" t="s">
        <v>815</v>
      </c>
      <c r="C27" s="344" t="s">
        <v>862</v>
      </c>
    </row>
    <row r="28" spans="2:4" ht="32.4">
      <c r="B28" s="345" t="s">
        <v>836</v>
      </c>
      <c r="C28" s="344" t="s">
        <v>839</v>
      </c>
    </row>
    <row r="30" spans="2:4">
      <c r="B30" t="s">
        <v>840</v>
      </c>
    </row>
    <row r="31" spans="2:4">
      <c r="B31" t="s">
        <v>845</v>
      </c>
    </row>
    <row r="32" spans="2:4" ht="38.25" customHeight="1">
      <c r="B32" s="345" t="s">
        <v>814</v>
      </c>
      <c r="C32" s="344" t="s">
        <v>855</v>
      </c>
    </row>
    <row r="33" spans="2:4" ht="22.5" customHeight="1">
      <c r="B33" s="345" t="s">
        <v>827</v>
      </c>
      <c r="C33" s="344" t="s">
        <v>856</v>
      </c>
    </row>
    <row r="34" spans="2:4" ht="194.4">
      <c r="B34" s="345" t="s">
        <v>815</v>
      </c>
      <c r="C34" s="344" t="s">
        <v>860</v>
      </c>
      <c r="D34" s="334"/>
    </row>
    <row r="35" spans="2:4" ht="41.25" customHeight="1">
      <c r="B35" s="345" t="s">
        <v>846</v>
      </c>
      <c r="C35" s="344" t="s">
        <v>848</v>
      </c>
    </row>
    <row r="37" spans="2:4">
      <c r="B37" t="s">
        <v>841</v>
      </c>
    </row>
    <row r="38" spans="2:4" ht="81.75" customHeight="1">
      <c r="B38" s="345" t="s">
        <v>814</v>
      </c>
      <c r="C38" s="344" t="s">
        <v>842</v>
      </c>
    </row>
    <row r="39" spans="2:4">
      <c r="B39" s="345" t="s">
        <v>827</v>
      </c>
      <c r="C39" s="344" t="s">
        <v>843</v>
      </c>
    </row>
    <row r="40" spans="2:4" ht="41.25" customHeight="1">
      <c r="B40" s="345" t="s">
        <v>846</v>
      </c>
      <c r="C40" s="344" t="s">
        <v>847</v>
      </c>
    </row>
  </sheetData>
  <mergeCells count="1">
    <mergeCell ref="B11:B13"/>
  </mergeCells>
  <phoneticPr fontId="3"/>
  <pageMargins left="0.7" right="0.7" top="0.75" bottom="0.75" header="0.3" footer="0.3"/>
  <pageSetup paperSize="9" scale="5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9"/>
  <sheetViews>
    <sheetView zoomScaleNormal="100" workbookViewId="0">
      <selection activeCell="O19" sqref="O19"/>
    </sheetView>
  </sheetViews>
  <sheetFormatPr defaultColWidth="12" defaultRowHeight="16.2"/>
  <cols>
    <col min="1" max="1" width="14.44140625" style="4" customWidth="1"/>
    <col min="2" max="5" width="13.109375" style="4" customWidth="1"/>
    <col min="6" max="8" width="12.6640625" style="4" customWidth="1"/>
    <col min="9" max="12" width="13.109375" style="4" customWidth="1"/>
    <col min="13" max="13" width="12" style="4"/>
    <col min="14" max="14" width="11.88671875" style="4" customWidth="1"/>
    <col min="15" max="16384" width="12" style="4"/>
  </cols>
  <sheetData>
    <row r="1" spans="1:20">
      <c r="A1" s="234"/>
      <c r="B1" s="235"/>
      <c r="C1" s="235"/>
      <c r="D1" s="235"/>
      <c r="E1" s="235"/>
      <c r="F1" s="235"/>
      <c r="G1" s="235"/>
      <c r="H1" s="235"/>
      <c r="I1" s="235"/>
      <c r="J1" s="235"/>
      <c r="K1" s="235"/>
      <c r="L1" s="235"/>
      <c r="M1" s="235"/>
      <c r="N1" s="235"/>
      <c r="O1" s="235"/>
      <c r="P1" s="235"/>
      <c r="Q1" s="235"/>
      <c r="R1" s="235"/>
      <c r="S1" s="236"/>
    </row>
    <row r="2" spans="1:20">
      <c r="A2" s="5" t="s">
        <v>608</v>
      </c>
      <c r="B2" s="237"/>
      <c r="C2" s="237"/>
      <c r="D2" s="237"/>
      <c r="E2" s="237"/>
      <c r="F2" s="237"/>
      <c r="G2" s="237"/>
      <c r="H2" s="237"/>
      <c r="I2" s="237"/>
      <c r="J2" s="237"/>
      <c r="K2" s="237"/>
      <c r="L2" s="237"/>
      <c r="M2" s="237"/>
      <c r="N2" s="237"/>
      <c r="O2" s="237"/>
      <c r="P2" s="237"/>
      <c r="Q2" s="237"/>
      <c r="R2" s="237"/>
      <c r="S2" s="238"/>
    </row>
    <row r="3" spans="1:20">
      <c r="A3" s="8"/>
      <c r="B3" s="239"/>
      <c r="C3" s="240" t="s">
        <v>542</v>
      </c>
      <c r="D3" s="239"/>
      <c r="E3" s="239"/>
      <c r="F3" s="239"/>
      <c r="G3" s="239"/>
      <c r="H3" s="239"/>
      <c r="I3" s="239"/>
      <c r="J3" s="239"/>
      <c r="K3" s="239"/>
      <c r="L3" s="239"/>
      <c r="M3" s="239"/>
      <c r="N3" s="239"/>
      <c r="O3" s="239"/>
      <c r="P3" s="239"/>
      <c r="Q3" s="239"/>
      <c r="R3" s="239"/>
      <c r="S3" s="241"/>
    </row>
    <row r="4" spans="1:20" s="12" customFormat="1">
      <c r="A4" s="11"/>
      <c r="B4" s="242"/>
      <c r="C4" s="242"/>
      <c r="D4" s="242"/>
      <c r="E4" s="242"/>
      <c r="F4" s="242"/>
      <c r="G4" s="242"/>
      <c r="H4" s="242"/>
      <c r="I4" s="242"/>
      <c r="J4" s="242"/>
      <c r="K4" s="242"/>
      <c r="L4" s="242"/>
      <c r="M4" s="242"/>
      <c r="N4" s="242"/>
      <c r="O4" s="242"/>
      <c r="P4" s="242"/>
      <c r="Q4" s="242"/>
      <c r="R4" s="242"/>
      <c r="S4" s="242"/>
    </row>
    <row r="5" spans="1:20" ht="18" customHeight="1">
      <c r="A5" s="254" t="s">
        <v>609</v>
      </c>
      <c r="B5" s="244"/>
      <c r="C5" s="245"/>
      <c r="D5" s="245"/>
      <c r="E5" s="245"/>
      <c r="F5" s="245"/>
      <c r="G5" s="245"/>
      <c r="H5" s="245"/>
      <c r="I5" s="245"/>
      <c r="J5" s="245"/>
      <c r="K5" s="245"/>
      <c r="L5" s="245"/>
      <c r="M5" s="245"/>
      <c r="N5" s="245"/>
      <c r="O5" s="245"/>
      <c r="P5" s="245"/>
      <c r="Q5" s="245"/>
      <c r="R5" s="245"/>
      <c r="S5" s="245"/>
      <c r="T5" s="246"/>
    </row>
    <row r="6" spans="1:20">
      <c r="A6" s="255" t="s">
        <v>610</v>
      </c>
      <c r="B6" s="248"/>
      <c r="C6" s="248"/>
      <c r="D6" s="248"/>
      <c r="E6" s="248"/>
      <c r="F6" s="248"/>
      <c r="G6" s="248"/>
      <c r="H6" s="248"/>
      <c r="I6" s="248"/>
      <c r="J6" s="248"/>
      <c r="K6" s="248"/>
      <c r="L6" s="248"/>
      <c r="M6" s="248"/>
      <c r="N6" s="248"/>
      <c r="O6" s="248"/>
      <c r="P6" s="248"/>
      <c r="Q6" s="248"/>
      <c r="R6" s="248"/>
      <c r="S6" s="248"/>
      <c r="T6" s="249"/>
    </row>
    <row r="7" spans="1:20">
      <c r="A7" s="255" t="s">
        <v>611</v>
      </c>
      <c r="B7" s="248"/>
      <c r="C7" s="248"/>
      <c r="D7" s="248"/>
      <c r="E7" s="248"/>
      <c r="F7" s="248"/>
      <c r="G7" s="248"/>
      <c r="H7" s="248"/>
      <c r="I7" s="248"/>
      <c r="J7" s="248"/>
      <c r="K7" s="248"/>
      <c r="L7" s="248"/>
      <c r="M7" s="248"/>
      <c r="N7" s="248"/>
      <c r="O7" s="248"/>
      <c r="P7" s="248"/>
      <c r="Q7" s="248"/>
      <c r="R7" s="248"/>
      <c r="S7" s="248"/>
      <c r="T7" s="249"/>
    </row>
    <row r="8" spans="1:20">
      <c r="A8" s="250"/>
      <c r="B8" s="251"/>
      <c r="C8" s="251"/>
      <c r="D8" s="251"/>
      <c r="E8" s="251"/>
      <c r="F8" s="251"/>
      <c r="G8" s="251"/>
      <c r="H8" s="251"/>
      <c r="I8" s="251"/>
      <c r="J8" s="251"/>
      <c r="K8" s="251"/>
      <c r="L8" s="251"/>
      <c r="M8" s="251"/>
      <c r="N8" s="251"/>
      <c r="O8" s="251"/>
      <c r="P8" s="251"/>
      <c r="Q8" s="251"/>
      <c r="R8" s="251"/>
      <c r="S8" s="251"/>
      <c r="T8" s="252"/>
    </row>
    <row r="9" spans="1:20" s="12" customFormat="1" ht="17.25" customHeight="1">
      <c r="A9" s="256" t="s">
        <v>617</v>
      </c>
      <c r="B9" s="253"/>
      <c r="C9" s="253"/>
      <c r="D9" s="253"/>
      <c r="E9" s="253"/>
      <c r="F9" s="253"/>
      <c r="G9" s="253"/>
      <c r="H9" s="253"/>
      <c r="I9" s="253"/>
      <c r="J9" s="253"/>
      <c r="K9" s="253"/>
      <c r="L9" s="253"/>
      <c r="M9" s="253"/>
      <c r="N9" s="253"/>
      <c r="O9" s="253"/>
      <c r="P9" s="253"/>
      <c r="Q9" s="253"/>
      <c r="R9" s="253"/>
      <c r="S9" s="253"/>
      <c r="T9" s="253"/>
    </row>
    <row r="10" spans="1:20" s="12" customFormat="1" ht="17.25" customHeight="1">
      <c r="A10" s="253" t="s">
        <v>612</v>
      </c>
      <c r="B10" s="253" t="s">
        <v>613</v>
      </c>
      <c r="C10" s="253"/>
      <c r="D10" s="253"/>
      <c r="E10" s="253"/>
      <c r="F10" s="253"/>
      <c r="G10" s="253"/>
      <c r="H10" s="253"/>
      <c r="I10" s="253"/>
      <c r="J10" s="253"/>
      <c r="K10" s="253"/>
      <c r="L10" s="253"/>
      <c r="M10" s="253"/>
      <c r="N10" s="253"/>
      <c r="O10" s="253"/>
      <c r="P10" s="253"/>
      <c r="Q10" s="253"/>
      <c r="R10" s="253"/>
      <c r="S10" s="253"/>
      <c r="T10" s="253"/>
    </row>
    <row r="11" spans="1:20" s="12" customFormat="1" ht="17.25" customHeight="1">
      <c r="A11" s="253" t="s">
        <v>614</v>
      </c>
      <c r="B11" s="253" t="s">
        <v>615</v>
      </c>
      <c r="C11" s="253"/>
      <c r="D11" s="253"/>
      <c r="E11" s="253"/>
      <c r="F11" s="253"/>
      <c r="G11" s="253"/>
      <c r="H11" s="253"/>
      <c r="I11" s="253"/>
      <c r="J11" s="253"/>
      <c r="K11" s="253"/>
      <c r="L11" s="253"/>
      <c r="M11" s="253"/>
      <c r="N11" s="253"/>
      <c r="O11" s="253"/>
      <c r="P11" s="253"/>
      <c r="Q11" s="253"/>
      <c r="R11" s="253"/>
      <c r="S11" s="253"/>
      <c r="T11" s="253"/>
    </row>
    <row r="12" spans="1:20" s="12" customFormat="1" ht="17.25" customHeight="1">
      <c r="A12" s="253"/>
      <c r="B12" s="253" t="s">
        <v>616</v>
      </c>
      <c r="C12" s="253"/>
      <c r="D12" s="253"/>
      <c r="E12" s="253"/>
      <c r="F12" s="253"/>
      <c r="G12" s="253"/>
      <c r="H12" s="253"/>
      <c r="I12" s="253"/>
      <c r="J12" s="253"/>
      <c r="K12" s="253"/>
      <c r="L12" s="253"/>
      <c r="M12" s="253"/>
      <c r="N12" s="253"/>
      <c r="O12" s="253"/>
      <c r="P12" s="253"/>
      <c r="Q12" s="253"/>
      <c r="R12" s="253"/>
      <c r="S12" s="253"/>
      <c r="T12" s="253"/>
    </row>
    <row r="13" spans="1:20" s="12" customFormat="1" ht="17.25" customHeight="1">
      <c r="A13" s="256" t="s">
        <v>618</v>
      </c>
      <c r="B13" s="253"/>
      <c r="C13" s="253"/>
      <c r="D13" s="253"/>
      <c r="E13" s="253"/>
      <c r="F13" s="253"/>
      <c r="G13" s="253"/>
      <c r="H13" s="253"/>
      <c r="I13" s="253"/>
      <c r="J13" s="253"/>
      <c r="K13" s="253"/>
      <c r="L13" s="253"/>
      <c r="M13" s="253"/>
      <c r="N13" s="253"/>
      <c r="O13" s="253"/>
      <c r="P13" s="253"/>
      <c r="Q13" s="253"/>
      <c r="R13" s="253"/>
      <c r="S13" s="253"/>
      <c r="T13" s="253"/>
    </row>
    <row r="14" spans="1:20" s="12" customFormat="1" ht="17.25" customHeight="1">
      <c r="A14" s="253"/>
      <c r="B14" s="253" t="s">
        <v>683</v>
      </c>
      <c r="C14" s="253"/>
      <c r="D14" s="253"/>
      <c r="E14" s="253"/>
      <c r="F14" s="253"/>
      <c r="G14" s="253"/>
      <c r="H14" s="253"/>
      <c r="I14" s="253"/>
      <c r="J14" s="253"/>
      <c r="K14" s="253"/>
      <c r="L14" s="253"/>
      <c r="M14" s="253"/>
      <c r="N14" s="253"/>
      <c r="O14" s="253"/>
      <c r="P14" s="253"/>
      <c r="Q14" s="253"/>
      <c r="R14" s="253"/>
      <c r="S14" s="253"/>
      <c r="T14" s="253"/>
    </row>
    <row r="15" spans="1:20" s="12" customFormat="1" ht="17.25" customHeight="1">
      <c r="A15" s="253"/>
      <c r="B15" s="253" t="s">
        <v>684</v>
      </c>
      <c r="C15" s="253"/>
      <c r="D15" s="253"/>
      <c r="E15" s="253"/>
      <c r="F15" s="253"/>
      <c r="G15" s="253"/>
      <c r="H15" s="253"/>
      <c r="I15" s="253"/>
      <c r="J15" s="253"/>
      <c r="K15" s="253"/>
      <c r="L15" s="253"/>
      <c r="M15" s="253"/>
      <c r="N15" s="253"/>
      <c r="O15" s="253"/>
      <c r="P15" s="253"/>
      <c r="Q15" s="253"/>
      <c r="R15" s="253"/>
      <c r="S15" s="253"/>
      <c r="T15" s="253"/>
    </row>
    <row r="17" spans="1:20" ht="18" customHeight="1">
      <c r="A17" s="243" t="s">
        <v>619</v>
      </c>
      <c r="B17" s="244"/>
      <c r="C17" s="245"/>
      <c r="D17" s="245"/>
      <c r="E17" s="245"/>
      <c r="F17" s="245"/>
      <c r="G17" s="245"/>
      <c r="H17" s="245"/>
      <c r="I17" s="245"/>
      <c r="J17" s="245"/>
      <c r="K17" s="245"/>
      <c r="L17" s="245"/>
      <c r="M17" s="245"/>
      <c r="N17" s="245"/>
      <c r="O17" s="245"/>
      <c r="P17" s="245"/>
      <c r="Q17" s="245"/>
      <c r="R17" s="245"/>
      <c r="S17" s="245"/>
      <c r="T17" s="246"/>
    </row>
    <row r="18" spans="1:20">
      <c r="A18" s="247" t="s">
        <v>620</v>
      </c>
      <c r="B18" s="248"/>
      <c r="C18" s="248"/>
      <c r="D18" s="248"/>
      <c r="E18" s="248"/>
      <c r="F18" s="248"/>
      <c r="G18" s="248"/>
      <c r="H18" s="248"/>
      <c r="I18" s="248"/>
      <c r="J18" s="248"/>
      <c r="K18" s="248"/>
      <c r="L18" s="248"/>
      <c r="M18" s="248"/>
      <c r="N18" s="248"/>
      <c r="O18" s="248"/>
      <c r="P18" s="248"/>
      <c r="Q18" s="248"/>
      <c r="R18" s="248"/>
      <c r="S18" s="248"/>
      <c r="T18" s="249"/>
    </row>
    <row r="19" spans="1:20">
      <c r="A19" s="247"/>
      <c r="B19" s="248"/>
      <c r="C19" s="248"/>
      <c r="D19" s="248"/>
      <c r="E19" s="248"/>
      <c r="F19" s="248"/>
      <c r="G19" s="248"/>
      <c r="H19" s="248"/>
      <c r="I19" s="248"/>
      <c r="J19" s="248"/>
      <c r="K19" s="248"/>
      <c r="L19" s="248"/>
      <c r="M19" s="248"/>
      <c r="N19" s="248"/>
      <c r="O19" s="248"/>
      <c r="P19" s="248"/>
      <c r="Q19" s="248"/>
      <c r="R19" s="248"/>
      <c r="S19" s="248"/>
      <c r="T19" s="249"/>
    </row>
    <row r="20" spans="1:20">
      <c r="A20" s="250"/>
      <c r="B20" s="251"/>
      <c r="C20" s="251"/>
      <c r="D20" s="251"/>
      <c r="E20" s="251"/>
      <c r="F20" s="251"/>
      <c r="G20" s="251"/>
      <c r="H20" s="251"/>
      <c r="I20" s="251"/>
      <c r="J20" s="251"/>
      <c r="K20" s="251"/>
      <c r="L20" s="251"/>
      <c r="M20" s="251"/>
      <c r="N20" s="251"/>
      <c r="O20" s="251"/>
      <c r="P20" s="251"/>
      <c r="Q20" s="251"/>
      <c r="R20" s="251"/>
      <c r="S20" s="251"/>
      <c r="T20" s="252"/>
    </row>
    <row r="22" spans="1:20">
      <c r="A22" s="4" t="s">
        <v>621</v>
      </c>
      <c r="D22" s="4" t="s">
        <v>623</v>
      </c>
      <c r="E22" s="4" t="s">
        <v>624</v>
      </c>
    </row>
    <row r="23" spans="1:20">
      <c r="A23" s="4" t="s">
        <v>622</v>
      </c>
      <c r="B23" s="71"/>
      <c r="C23" s="78"/>
    </row>
    <row r="24" spans="1:20">
      <c r="B24" s="74"/>
      <c r="C24" s="44">
        <v>324</v>
      </c>
      <c r="D24" s="56">
        <v>0.01</v>
      </c>
      <c r="E24" s="122">
        <f>+D24*0.7</f>
        <v>6.9999999999999993E-3</v>
      </c>
    </row>
    <row r="25" spans="1:20">
      <c r="B25" s="74"/>
      <c r="C25" s="79"/>
    </row>
    <row r="26" spans="1:20">
      <c r="B26" s="76"/>
      <c r="C26" s="44">
        <v>179</v>
      </c>
      <c r="D26" s="56">
        <v>0.08</v>
      </c>
    </row>
    <row r="27" spans="1:20">
      <c r="C27" s="4">
        <f>+SUM(C24:C26)</f>
        <v>503</v>
      </c>
      <c r="D27" s="4" t="s">
        <v>625</v>
      </c>
      <c r="E27" s="115">
        <f>ROUND(E24*C24/C27+D26*C26/C27,3)</f>
        <v>3.3000000000000002E-2</v>
      </c>
      <c r="I27" s="4" t="s">
        <v>686</v>
      </c>
    </row>
    <row r="29" spans="1:20">
      <c r="A29" s="4" t="s">
        <v>626</v>
      </c>
    </row>
    <row r="30" spans="1:20">
      <c r="B30" s="257" t="s">
        <v>627</v>
      </c>
      <c r="C30" s="257" t="s">
        <v>628</v>
      </c>
    </row>
    <row r="31" spans="1:20">
      <c r="B31" s="258"/>
      <c r="C31" s="259">
        <v>138</v>
      </c>
    </row>
    <row r="32" spans="1:20">
      <c r="B32" s="258"/>
      <c r="C32" s="260" t="s">
        <v>629</v>
      </c>
      <c r="E32" s="4" t="s">
        <v>680</v>
      </c>
    </row>
    <row r="33" spans="1:12">
      <c r="B33" s="259">
        <v>190</v>
      </c>
      <c r="C33" s="261">
        <f>+B33-C31</f>
        <v>52</v>
      </c>
      <c r="E33" s="88">
        <f>+B33*E27</f>
        <v>6.2700000000000005</v>
      </c>
      <c r="F33" s="4" t="s">
        <v>630</v>
      </c>
    </row>
    <row r="35" spans="1:12">
      <c r="A35" s="4" t="s">
        <v>631</v>
      </c>
      <c r="B35" s="4" t="s">
        <v>632</v>
      </c>
    </row>
    <row r="37" spans="1:12">
      <c r="B37" s="71" t="s">
        <v>634</v>
      </c>
      <c r="C37" s="72">
        <v>395</v>
      </c>
      <c r="D37" s="71" t="s">
        <v>633</v>
      </c>
      <c r="E37" s="73">
        <v>400</v>
      </c>
    </row>
    <row r="38" spans="1:12">
      <c r="B38" s="84" t="s">
        <v>635</v>
      </c>
      <c r="C38" s="191">
        <v>1</v>
      </c>
      <c r="D38" s="74"/>
      <c r="E38" s="75"/>
    </row>
    <row r="39" spans="1:12">
      <c r="B39" s="84" t="s">
        <v>636</v>
      </c>
      <c r="C39" s="191">
        <f>+E37-C37-C38</f>
        <v>4</v>
      </c>
      <c r="D39" s="74"/>
      <c r="E39" s="75"/>
      <c r="I39" s="32" t="s">
        <v>687</v>
      </c>
      <c r="J39" s="32"/>
      <c r="K39" s="433" t="s">
        <v>689</v>
      </c>
      <c r="L39" s="433"/>
    </row>
    <row r="40" spans="1:12">
      <c r="B40" s="262" t="s">
        <v>637</v>
      </c>
      <c r="C40" s="191" t="s">
        <v>638</v>
      </c>
      <c r="D40" s="74"/>
      <c r="E40" s="75"/>
      <c r="I40" s="432">
        <f>+K40/(K42-L42)</f>
        <v>5249.9999999999991</v>
      </c>
      <c r="J40" s="433" t="s">
        <v>688</v>
      </c>
      <c r="K40" s="434">
        <v>105</v>
      </c>
      <c r="L40" s="434"/>
    </row>
    <row r="41" spans="1:12">
      <c r="B41" s="263">
        <f>+C39*0.3</f>
        <v>1.2</v>
      </c>
      <c r="C41" s="264">
        <f>+C39*0.7</f>
        <v>2.8</v>
      </c>
      <c r="D41" s="76"/>
      <c r="E41" s="77"/>
      <c r="I41" s="432"/>
      <c r="J41" s="433"/>
      <c r="K41" s="32" t="s">
        <v>690</v>
      </c>
      <c r="L41" s="271" t="s">
        <v>691</v>
      </c>
    </row>
    <row r="42" spans="1:12">
      <c r="B42" s="4" t="s">
        <v>639</v>
      </c>
      <c r="C42" s="88">
        <f>+C38+C41</f>
        <v>3.8</v>
      </c>
      <c r="I42" s="32" t="s">
        <v>692</v>
      </c>
      <c r="J42" s="32"/>
      <c r="K42" s="272">
        <v>0.05</v>
      </c>
      <c r="L42" s="272">
        <v>0.03</v>
      </c>
    </row>
    <row r="44" spans="1:12">
      <c r="B44" s="34" t="s">
        <v>685</v>
      </c>
      <c r="C44" s="34"/>
      <c r="D44" s="34"/>
      <c r="E44" s="34"/>
      <c r="F44" s="34"/>
      <c r="G44" s="34"/>
      <c r="H44" s="34"/>
    </row>
    <row r="46" spans="1:12">
      <c r="A46" s="4" t="s">
        <v>640</v>
      </c>
      <c r="B46" s="4" t="s">
        <v>641</v>
      </c>
    </row>
    <row r="48" spans="1:12">
      <c r="B48" s="4" t="s">
        <v>642</v>
      </c>
      <c r="D48" s="4" t="s">
        <v>643</v>
      </c>
    </row>
    <row r="49" spans="1:20">
      <c r="B49" s="435">
        <f>+B33</f>
        <v>190</v>
      </c>
      <c r="C49" s="435" t="s">
        <v>688</v>
      </c>
      <c r="D49" s="54">
        <f>+C42</f>
        <v>3.8</v>
      </c>
      <c r="E49" s="33" t="s">
        <v>693</v>
      </c>
    </row>
    <row r="50" spans="1:20">
      <c r="B50" s="435"/>
      <c r="C50" s="435"/>
      <c r="D50" s="4" t="s">
        <v>625</v>
      </c>
      <c r="E50" s="63" t="s">
        <v>681</v>
      </c>
    </row>
    <row r="51" spans="1:20">
      <c r="D51" s="273">
        <v>3.3000000000000002E-2</v>
      </c>
      <c r="E51" s="274">
        <f>+(B49*D51-D49)/(B49+D49)</f>
        <v>1.274509803921569E-2</v>
      </c>
    </row>
    <row r="52" spans="1:20">
      <c r="E52" s="275" t="s">
        <v>694</v>
      </c>
    </row>
    <row r="54" spans="1:20" ht="18" customHeight="1">
      <c r="A54" s="243" t="s">
        <v>644</v>
      </c>
      <c r="B54" s="244"/>
      <c r="C54" s="245"/>
      <c r="D54" s="245"/>
      <c r="E54" s="245"/>
      <c r="F54" s="245"/>
      <c r="G54" s="245"/>
      <c r="H54" s="245"/>
      <c r="I54" s="245"/>
      <c r="J54" s="245"/>
      <c r="K54" s="245"/>
      <c r="L54" s="245"/>
      <c r="M54" s="245"/>
      <c r="N54" s="245"/>
      <c r="O54" s="245"/>
      <c r="P54" s="245"/>
      <c r="Q54" s="245"/>
      <c r="R54" s="245"/>
      <c r="S54" s="245"/>
      <c r="T54" s="246"/>
    </row>
    <row r="55" spans="1:20">
      <c r="A55" s="247"/>
      <c r="B55" s="248"/>
      <c r="C55" s="248"/>
      <c r="D55" s="248"/>
      <c r="E55" s="248"/>
      <c r="F55" s="248"/>
      <c r="G55" s="248"/>
      <c r="H55" s="248"/>
      <c r="I55" s="248"/>
      <c r="J55" s="248"/>
      <c r="K55" s="248"/>
      <c r="L55" s="248"/>
      <c r="M55" s="248"/>
      <c r="N55" s="248"/>
      <c r="O55" s="248"/>
      <c r="P55" s="248"/>
      <c r="Q55" s="248"/>
      <c r="R55" s="248"/>
      <c r="S55" s="248"/>
      <c r="T55" s="249"/>
    </row>
    <row r="56" spans="1:20">
      <c r="A56" s="247"/>
      <c r="B56" s="248"/>
      <c r="C56" s="248"/>
      <c r="D56" s="248"/>
      <c r="E56" s="248"/>
      <c r="F56" s="248"/>
      <c r="G56" s="248"/>
      <c r="H56" s="248"/>
      <c r="I56" s="248"/>
      <c r="J56" s="248"/>
      <c r="K56" s="248"/>
      <c r="L56" s="248"/>
      <c r="M56" s="248"/>
      <c r="N56" s="248"/>
      <c r="O56" s="248"/>
      <c r="P56" s="248"/>
      <c r="Q56" s="248"/>
      <c r="R56" s="248"/>
      <c r="S56" s="248"/>
      <c r="T56" s="249"/>
    </row>
    <row r="57" spans="1:20">
      <c r="A57" s="250"/>
      <c r="B57" s="251"/>
      <c r="C57" s="251"/>
      <c r="D57" s="251"/>
      <c r="E57" s="251"/>
      <c r="F57" s="251"/>
      <c r="G57" s="251"/>
      <c r="H57" s="251"/>
      <c r="I57" s="251"/>
      <c r="J57" s="251"/>
      <c r="K57" s="251"/>
      <c r="L57" s="251"/>
      <c r="M57" s="251"/>
      <c r="N57" s="251"/>
      <c r="O57" s="251"/>
      <c r="P57" s="251"/>
      <c r="Q57" s="251"/>
      <c r="R57" s="251"/>
      <c r="S57" s="251"/>
      <c r="T57" s="252"/>
    </row>
    <row r="59" spans="1:20">
      <c r="A59" s="4" t="s">
        <v>621</v>
      </c>
      <c r="B59" s="4" t="s">
        <v>645</v>
      </c>
      <c r="F59" s="4" t="s">
        <v>658</v>
      </c>
      <c r="H59" s="4" t="s">
        <v>660</v>
      </c>
    </row>
    <row r="60" spans="1:20">
      <c r="F60" s="265"/>
      <c r="H60" s="4" t="s">
        <v>661</v>
      </c>
      <c r="I60" s="4" t="s">
        <v>657</v>
      </c>
    </row>
    <row r="61" spans="1:20">
      <c r="B61" s="4" t="s">
        <v>646</v>
      </c>
      <c r="D61" s="4">
        <v>1503</v>
      </c>
      <c r="F61" s="4">
        <f>+D61</f>
        <v>1503</v>
      </c>
      <c r="H61" s="4">
        <v>550</v>
      </c>
      <c r="I61" s="4">
        <f>+D61+H61</f>
        <v>2053</v>
      </c>
    </row>
    <row r="62" spans="1:20">
      <c r="B62" s="4" t="s">
        <v>649</v>
      </c>
    </row>
    <row r="63" spans="1:20">
      <c r="B63" s="4" t="s">
        <v>647</v>
      </c>
      <c r="C63" s="4">
        <v>782</v>
      </c>
      <c r="E63" s="4" t="s">
        <v>659</v>
      </c>
      <c r="F63" s="65">
        <f>+C63*1.07</f>
        <v>836.74</v>
      </c>
      <c r="H63" s="4">
        <f>+F63*I61/F61</f>
        <v>1142.9322821024616</v>
      </c>
    </row>
    <row r="64" spans="1:20">
      <c r="B64" s="4" t="s">
        <v>648</v>
      </c>
      <c r="C64" s="4">
        <v>232</v>
      </c>
      <c r="E64" s="4" t="s">
        <v>682</v>
      </c>
      <c r="F64" s="4">
        <f>+C64</f>
        <v>232</v>
      </c>
      <c r="G64" s="4" t="s">
        <v>682</v>
      </c>
    </row>
    <row r="65" spans="1:10">
      <c r="B65" s="4" t="s">
        <v>650</v>
      </c>
      <c r="C65" s="33">
        <v>33</v>
      </c>
      <c r="D65" s="33">
        <f>+SUM(C63:C65)</f>
        <v>1047</v>
      </c>
      <c r="E65" s="123">
        <f>+D65/D61</f>
        <v>0.69660678642714569</v>
      </c>
      <c r="F65" s="4">
        <f>+C65</f>
        <v>33</v>
      </c>
      <c r="G65" s="115">
        <f>+SUM(F63:F65)/F61</f>
        <v>0.73302727877578178</v>
      </c>
      <c r="H65" s="33"/>
      <c r="I65" s="33"/>
    </row>
    <row r="66" spans="1:10" ht="16.8" thickBot="1">
      <c r="B66" s="4" t="s">
        <v>651</v>
      </c>
      <c r="D66" s="4">
        <f>+D61-D65</f>
        <v>456</v>
      </c>
      <c r="E66" s="123">
        <f>+D66/D61</f>
        <v>0.30339321357285431</v>
      </c>
      <c r="F66" s="266">
        <f>+F61-SUM(F63:F65)</f>
        <v>401.26</v>
      </c>
      <c r="G66" s="267">
        <f>+F66/F61</f>
        <v>0.26697272122421822</v>
      </c>
      <c r="H66" s="123"/>
      <c r="I66" s="217">
        <f>+G66*I61</f>
        <v>548.09499667332</v>
      </c>
      <c r="J66" s="4" t="s">
        <v>662</v>
      </c>
    </row>
    <row r="67" spans="1:10" ht="16.8" thickTop="1">
      <c r="B67" s="4" t="s">
        <v>653</v>
      </c>
      <c r="E67" s="4" t="s">
        <v>652</v>
      </c>
      <c r="G67" s="4" t="s">
        <v>652</v>
      </c>
      <c r="J67" s="4" t="s">
        <v>663</v>
      </c>
    </row>
    <row r="68" spans="1:10">
      <c r="B68" s="4" t="s">
        <v>655</v>
      </c>
      <c r="C68" s="4">
        <v>126</v>
      </c>
    </row>
    <row r="69" spans="1:10">
      <c r="B69" s="4" t="s">
        <v>656</v>
      </c>
      <c r="C69" s="33">
        <v>312</v>
      </c>
      <c r="D69" s="33">
        <f>+SUM(C68:C69)</f>
        <v>438</v>
      </c>
      <c r="H69" s="4">
        <v>34</v>
      </c>
      <c r="I69" s="4">
        <f>+D69+H69</f>
        <v>472</v>
      </c>
    </row>
    <row r="70" spans="1:10" ht="16.8" thickBot="1">
      <c r="B70" s="4" t="s">
        <v>654</v>
      </c>
      <c r="D70" s="125">
        <f>+D66-D69</f>
        <v>18</v>
      </c>
      <c r="I70" s="38">
        <f>+I66-I69</f>
        <v>76.094996673319997</v>
      </c>
      <c r="J70" s="4" t="s">
        <v>664</v>
      </c>
    </row>
    <row r="71" spans="1:10" ht="16.8" thickTop="1"/>
    <row r="72" spans="1:10">
      <c r="A72" s="4" t="s">
        <v>631</v>
      </c>
      <c r="B72" s="4" t="s">
        <v>665</v>
      </c>
    </row>
    <row r="73" spans="1:10">
      <c r="B73" s="4" t="s">
        <v>666</v>
      </c>
    </row>
    <row r="74" spans="1:10">
      <c r="B74" s="4" t="s">
        <v>667</v>
      </c>
    </row>
    <row r="75" spans="1:10">
      <c r="B75" s="4" t="s">
        <v>668</v>
      </c>
    </row>
    <row r="77" spans="1:10">
      <c r="A77" s="4" t="s">
        <v>640</v>
      </c>
      <c r="B77" s="4" t="s">
        <v>669</v>
      </c>
    </row>
    <row r="78" spans="1:10">
      <c r="B78" s="4" t="s">
        <v>670</v>
      </c>
    </row>
    <row r="79" spans="1:10">
      <c r="B79" s="4" t="s">
        <v>671</v>
      </c>
    </row>
    <row r="80" spans="1:10">
      <c r="B80" s="4" t="s">
        <v>672</v>
      </c>
    </row>
    <row r="81" spans="1:20">
      <c r="B81" s="4" t="s">
        <v>673</v>
      </c>
    </row>
    <row r="83" spans="1:20" ht="18" customHeight="1">
      <c r="A83" s="243" t="s">
        <v>674</v>
      </c>
      <c r="B83" s="245" t="s">
        <v>676</v>
      </c>
      <c r="C83" s="245"/>
      <c r="D83" s="245"/>
      <c r="E83" s="245"/>
      <c r="F83" s="245"/>
      <c r="G83" s="245"/>
      <c r="H83" s="245"/>
      <c r="I83" s="245"/>
      <c r="J83" s="245"/>
      <c r="K83" s="245"/>
      <c r="L83" s="245"/>
      <c r="M83" s="245"/>
      <c r="N83" s="245"/>
      <c r="O83" s="245"/>
      <c r="P83" s="245"/>
      <c r="Q83" s="245"/>
      <c r="R83" s="245"/>
      <c r="S83" s="245"/>
      <c r="T83" s="246"/>
    </row>
    <row r="84" spans="1:20">
      <c r="A84" s="250"/>
      <c r="B84" s="251"/>
      <c r="C84" s="251"/>
      <c r="D84" s="251"/>
      <c r="E84" s="251"/>
      <c r="F84" s="251"/>
      <c r="G84" s="251"/>
      <c r="H84" s="251"/>
      <c r="I84" s="251"/>
      <c r="J84" s="251"/>
      <c r="K84" s="251"/>
      <c r="L84" s="251"/>
      <c r="M84" s="251"/>
      <c r="N84" s="251"/>
      <c r="O84" s="251"/>
      <c r="P84" s="251"/>
      <c r="Q84" s="251"/>
      <c r="R84" s="251"/>
      <c r="S84" s="251"/>
      <c r="T84" s="252"/>
    </row>
    <row r="86" spans="1:20">
      <c r="B86" s="4" t="s">
        <v>675</v>
      </c>
    </row>
    <row r="87" spans="1:20">
      <c r="B87" s="4" t="s">
        <v>677</v>
      </c>
    </row>
    <row r="88" spans="1:20">
      <c r="B88" s="4" t="s">
        <v>678</v>
      </c>
    </row>
    <row r="89" spans="1:20">
      <c r="B89" s="4" t="s">
        <v>679</v>
      </c>
    </row>
  </sheetData>
  <mergeCells count="6">
    <mergeCell ref="I40:I41"/>
    <mergeCell ref="J40:J41"/>
    <mergeCell ref="K39:L39"/>
    <mergeCell ref="K40:L40"/>
    <mergeCell ref="B49:B50"/>
    <mergeCell ref="C49:C50"/>
  </mergeCells>
  <phoneticPr fontId="3"/>
  <pageMargins left="0.25" right="0.25" top="0.75" bottom="0.75" header="0.3" footer="0.3"/>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93"/>
  <sheetViews>
    <sheetView zoomScaleNormal="100" workbookViewId="0">
      <selection activeCell="B13" sqref="B13"/>
    </sheetView>
  </sheetViews>
  <sheetFormatPr defaultColWidth="12" defaultRowHeight="16.2"/>
  <cols>
    <col min="1" max="1" width="14.44140625" style="4" customWidth="1"/>
    <col min="2" max="5" width="13.109375" style="4" customWidth="1"/>
    <col min="6" max="8" width="12.6640625" style="4" customWidth="1"/>
    <col min="9" max="12" width="13.109375" style="4" customWidth="1"/>
    <col min="13" max="13" width="12" style="4"/>
    <col min="14" max="14" width="11.88671875" style="4" customWidth="1"/>
    <col min="15" max="16384" width="12" style="4"/>
  </cols>
  <sheetData>
    <row r="1" spans="1:20">
      <c r="A1" s="1"/>
      <c r="B1" s="2"/>
      <c r="C1" s="2"/>
      <c r="D1" s="2"/>
      <c r="E1" s="2"/>
      <c r="F1" s="2"/>
      <c r="G1" s="2"/>
      <c r="H1" s="2"/>
      <c r="I1" s="2"/>
      <c r="J1" s="2"/>
      <c r="K1" s="2"/>
      <c r="L1" s="2"/>
      <c r="M1" s="2"/>
      <c r="N1" s="2"/>
      <c r="O1" s="2"/>
      <c r="P1" s="2"/>
      <c r="Q1" s="2"/>
      <c r="R1" s="2"/>
      <c r="S1" s="3"/>
    </row>
    <row r="2" spans="1:20">
      <c r="A2" s="5" t="s">
        <v>543</v>
      </c>
      <c r="B2" s="6"/>
      <c r="C2" s="6"/>
      <c r="D2" s="6"/>
      <c r="E2" s="6"/>
      <c r="F2" s="6"/>
      <c r="G2" s="6"/>
      <c r="H2" s="6"/>
      <c r="I2" s="6"/>
      <c r="J2" s="6"/>
      <c r="K2" s="6"/>
      <c r="L2" s="6"/>
      <c r="M2" s="6"/>
      <c r="N2" s="6"/>
      <c r="O2" s="6"/>
      <c r="P2" s="6"/>
      <c r="Q2" s="6"/>
      <c r="R2" s="6"/>
      <c r="S2" s="7"/>
    </row>
    <row r="3" spans="1:20">
      <c r="A3" s="8"/>
      <c r="B3" s="9"/>
      <c r="C3" s="60" t="s">
        <v>542</v>
      </c>
      <c r="D3" s="9"/>
      <c r="E3" s="9"/>
      <c r="F3" s="9"/>
      <c r="G3" s="9"/>
      <c r="H3" s="9"/>
      <c r="I3" s="9"/>
      <c r="J3" s="9"/>
      <c r="K3" s="9"/>
      <c r="L3" s="9"/>
      <c r="M3" s="9"/>
      <c r="N3" s="9"/>
      <c r="O3" s="9"/>
      <c r="P3" s="9"/>
      <c r="Q3" s="9"/>
      <c r="R3" s="9"/>
      <c r="S3" s="10"/>
    </row>
    <row r="4" spans="1:20" s="12" customFormat="1">
      <c r="A4" s="11"/>
      <c r="B4" s="11"/>
      <c r="C4" s="11"/>
      <c r="D4" s="11"/>
      <c r="E4" s="11"/>
      <c r="F4" s="11"/>
      <c r="G4" s="11"/>
      <c r="H4" s="11"/>
      <c r="I4" s="11"/>
      <c r="J4" s="11"/>
      <c r="K4" s="11"/>
      <c r="L4" s="11"/>
      <c r="M4" s="11"/>
      <c r="N4" s="11"/>
      <c r="O4" s="11"/>
      <c r="P4" s="11"/>
      <c r="Q4" s="11"/>
      <c r="R4" s="11"/>
      <c r="S4" s="11"/>
    </row>
    <row r="5" spans="1:20" ht="18" customHeight="1">
      <c r="A5" s="13" t="s">
        <v>100</v>
      </c>
      <c r="B5" s="136" t="s">
        <v>541</v>
      </c>
      <c r="C5" s="14"/>
      <c r="D5" s="14"/>
      <c r="E5" s="14"/>
      <c r="F5" s="14"/>
      <c r="G5" s="14"/>
      <c r="H5" s="14"/>
      <c r="I5" s="14"/>
      <c r="J5" s="14"/>
      <c r="K5" s="14"/>
      <c r="L5" s="14"/>
      <c r="M5" s="14"/>
      <c r="N5" s="14"/>
      <c r="O5" s="14"/>
      <c r="P5" s="14"/>
      <c r="Q5" s="14"/>
      <c r="R5" s="14"/>
      <c r="S5" s="14"/>
      <c r="T5" s="15"/>
    </row>
    <row r="6" spans="1:20">
      <c r="A6" s="16" t="s">
        <v>540</v>
      </c>
      <c r="B6" s="17"/>
      <c r="C6" s="17"/>
      <c r="D6" s="17"/>
      <c r="E6" s="17"/>
      <c r="F6" s="17"/>
      <c r="G6" s="17"/>
      <c r="H6" s="17"/>
      <c r="I6" s="17"/>
      <c r="J6" s="17"/>
      <c r="K6" s="17"/>
      <c r="L6" s="17"/>
      <c r="M6" s="17"/>
      <c r="N6" s="17"/>
      <c r="O6" s="17"/>
      <c r="P6" s="17"/>
      <c r="Q6" s="17"/>
      <c r="R6" s="17"/>
      <c r="S6" s="17"/>
      <c r="T6" s="18"/>
    </row>
    <row r="7" spans="1:20">
      <c r="A7" s="16" t="s">
        <v>539</v>
      </c>
      <c r="B7" s="17"/>
      <c r="C7" s="17"/>
      <c r="D7" s="17"/>
      <c r="E7" s="17"/>
      <c r="F7" s="17"/>
      <c r="G7" s="17"/>
      <c r="H7" s="17"/>
      <c r="I7" s="17"/>
      <c r="J7" s="17"/>
      <c r="K7" s="17"/>
      <c r="L7" s="17"/>
      <c r="M7" s="17"/>
      <c r="N7" s="17"/>
      <c r="O7" s="17"/>
      <c r="P7" s="17"/>
      <c r="Q7" s="17"/>
      <c r="R7" s="17"/>
      <c r="S7" s="17"/>
      <c r="T7" s="18"/>
    </row>
    <row r="8" spans="1:20">
      <c r="A8" s="19" t="s">
        <v>538</v>
      </c>
      <c r="B8" s="20"/>
      <c r="C8" s="20"/>
      <c r="D8" s="20"/>
      <c r="E8" s="20"/>
      <c r="F8" s="20"/>
      <c r="G8" s="20"/>
      <c r="H8" s="20"/>
      <c r="I8" s="20"/>
      <c r="J8" s="20"/>
      <c r="K8" s="20"/>
      <c r="L8" s="20"/>
      <c r="M8" s="20"/>
      <c r="N8" s="20"/>
      <c r="O8" s="20"/>
      <c r="P8" s="20"/>
      <c r="Q8" s="20"/>
      <c r="R8" s="20"/>
      <c r="S8" s="20"/>
      <c r="T8" s="21"/>
    </row>
    <row r="9" spans="1:20" s="12" customFormat="1" ht="17.25" customHeight="1">
      <c r="A9" s="22"/>
      <c r="B9" s="22"/>
      <c r="C9" s="22"/>
      <c r="D9" s="22"/>
      <c r="E9" s="22"/>
      <c r="F9" s="22"/>
      <c r="G9" s="22"/>
      <c r="H9" s="22"/>
      <c r="I9" s="22"/>
      <c r="J9" s="22"/>
      <c r="K9" s="22"/>
      <c r="L9" s="22"/>
      <c r="M9" s="22"/>
      <c r="N9" s="22"/>
      <c r="O9" s="22"/>
      <c r="P9" s="22"/>
      <c r="Q9" s="22"/>
      <c r="R9" s="22"/>
      <c r="S9" s="22"/>
      <c r="T9" s="22"/>
    </row>
    <row r="10" spans="1:20">
      <c r="A10" s="4" t="s">
        <v>537</v>
      </c>
    </row>
    <row r="11" spans="1:20">
      <c r="B11" s="4" t="s">
        <v>607</v>
      </c>
    </row>
    <row r="13" spans="1:20">
      <c r="D13" s="4" t="s">
        <v>536</v>
      </c>
      <c r="F13" s="4" t="s">
        <v>535</v>
      </c>
      <c r="H13" s="4" t="s">
        <v>529</v>
      </c>
    </row>
    <row r="14" spans="1:20">
      <c r="B14" s="4" t="s">
        <v>79</v>
      </c>
      <c r="E14" s="4">
        <v>3810</v>
      </c>
      <c r="F14" s="4" t="s">
        <v>534</v>
      </c>
      <c r="I14" s="203">
        <f>+E14*0.4+E14*0.6*1.03</f>
        <v>3878.58</v>
      </c>
    </row>
    <row r="15" spans="1:20">
      <c r="B15" s="4" t="s">
        <v>101</v>
      </c>
      <c r="C15" s="4" t="s">
        <v>81</v>
      </c>
      <c r="D15" s="4">
        <f>3326-D16</f>
        <v>1676</v>
      </c>
      <c r="F15" s="4" t="s">
        <v>533</v>
      </c>
      <c r="H15" s="4">
        <f>+D15*1.05</f>
        <v>1759.8000000000002</v>
      </c>
      <c r="I15" s="134"/>
    </row>
    <row r="16" spans="1:20">
      <c r="C16" s="4" t="s">
        <v>85</v>
      </c>
      <c r="D16" s="33">
        <v>1650</v>
      </c>
      <c r="E16" s="33">
        <f>+SUM(D15:D16)</f>
        <v>3326</v>
      </c>
      <c r="F16" s="4" t="s">
        <v>532</v>
      </c>
      <c r="H16" s="33">
        <f>+D16-100</f>
        <v>1550</v>
      </c>
      <c r="I16" s="202">
        <f>+SUM(H15:H16)</f>
        <v>3309.8</v>
      </c>
    </row>
    <row r="17" spans="1:15">
      <c r="B17" s="4" t="s">
        <v>102</v>
      </c>
      <c r="E17" s="4">
        <f>+E14-E16</f>
        <v>484</v>
      </c>
      <c r="I17" s="203">
        <f>+I14-I16</f>
        <v>568.77999999999975</v>
      </c>
    </row>
    <row r="18" spans="1:15">
      <c r="B18" s="4" t="s">
        <v>339</v>
      </c>
      <c r="C18" s="4" t="s">
        <v>81</v>
      </c>
      <c r="D18" s="4">
        <f>270-D19</f>
        <v>150</v>
      </c>
      <c r="H18" s="4">
        <f>+D18</f>
        <v>150</v>
      </c>
      <c r="I18" s="134"/>
    </row>
    <row r="19" spans="1:15">
      <c r="C19" s="4" t="s">
        <v>85</v>
      </c>
      <c r="D19" s="33">
        <v>120</v>
      </c>
      <c r="E19" s="33">
        <f>+SUM(D18:D19)</f>
        <v>270</v>
      </c>
      <c r="H19" s="33">
        <f>+D19</f>
        <v>120</v>
      </c>
      <c r="I19" s="202">
        <f>+SUM(H18:H19)</f>
        <v>270</v>
      </c>
    </row>
    <row r="20" spans="1:15" ht="16.8" thickBot="1">
      <c r="B20" s="4" t="s">
        <v>199</v>
      </c>
      <c r="E20" s="125">
        <f>+E17-E19</f>
        <v>214</v>
      </c>
      <c r="I20" s="201">
        <f>+I17-I19</f>
        <v>298.77999999999975</v>
      </c>
    </row>
    <row r="21" spans="1:15" ht="16.8" thickTop="1"/>
    <row r="22" spans="1:15">
      <c r="A22" s="4" t="s">
        <v>531</v>
      </c>
      <c r="H22" s="4" t="s">
        <v>530</v>
      </c>
      <c r="K22" s="52"/>
    </row>
    <row r="24" spans="1:15">
      <c r="D24" s="4" t="s">
        <v>529</v>
      </c>
      <c r="H24" s="4" t="s">
        <v>528</v>
      </c>
    </row>
    <row r="25" spans="1:15">
      <c r="B25" s="4" t="s">
        <v>527</v>
      </c>
      <c r="D25" s="4">
        <v>12</v>
      </c>
      <c r="H25" s="4">
        <v>40</v>
      </c>
      <c r="K25" s="4">
        <v>40</v>
      </c>
    </row>
    <row r="26" spans="1:15">
      <c r="B26" s="4" t="s">
        <v>526</v>
      </c>
      <c r="D26" s="4">
        <v>33</v>
      </c>
      <c r="G26" s="200"/>
      <c r="H26" s="4">
        <v>33</v>
      </c>
      <c r="K26" s="199">
        <f>+L27/K25</f>
        <v>26.75</v>
      </c>
      <c r="L26" s="4" t="s">
        <v>525</v>
      </c>
      <c r="N26" s="197">
        <f>+ROUNDUP(K26,0)</f>
        <v>27</v>
      </c>
      <c r="O26" s="4" t="s">
        <v>524</v>
      </c>
    </row>
    <row r="27" spans="1:15">
      <c r="B27" s="4" t="s">
        <v>79</v>
      </c>
      <c r="E27" s="4">
        <f>+D25*D26</f>
        <v>396</v>
      </c>
      <c r="I27" s="4">
        <f>+H25*H26</f>
        <v>1320</v>
      </c>
      <c r="L27" s="4">
        <f>+K29+L30</f>
        <v>1070</v>
      </c>
    </row>
    <row r="28" spans="1:15">
      <c r="C28" s="4" t="s">
        <v>523</v>
      </c>
      <c r="D28" s="4">
        <v>60</v>
      </c>
    </row>
    <row r="29" spans="1:15">
      <c r="C29" s="4" t="s">
        <v>522</v>
      </c>
      <c r="D29" s="33">
        <v>210</v>
      </c>
      <c r="E29" s="33">
        <f>+SUM(D28:D29)</f>
        <v>270</v>
      </c>
      <c r="F29" s="4" t="s">
        <v>521</v>
      </c>
      <c r="H29" s="33">
        <f>+D29*I27/E27</f>
        <v>700</v>
      </c>
      <c r="I29" s="33"/>
      <c r="J29" s="52"/>
      <c r="K29" s="33">
        <v>700</v>
      </c>
      <c r="L29" s="33"/>
    </row>
    <row r="30" spans="1:15">
      <c r="B30" s="4" t="s">
        <v>520</v>
      </c>
      <c r="E30" s="4">
        <f>+E27-E29</f>
        <v>126</v>
      </c>
      <c r="F30" s="198">
        <f>1-D29/E27</f>
        <v>0.46969696969696972</v>
      </c>
      <c r="I30" s="4">
        <f>+I27*F30</f>
        <v>620</v>
      </c>
      <c r="J30" s="56"/>
      <c r="L30" s="4">
        <f>+L32+K31</f>
        <v>370</v>
      </c>
    </row>
    <row r="31" spans="1:15">
      <c r="C31" s="4" t="s">
        <v>519</v>
      </c>
      <c r="D31" s="33">
        <v>370</v>
      </c>
      <c r="E31" s="33"/>
      <c r="H31" s="33">
        <v>370</v>
      </c>
      <c r="I31" s="33"/>
      <c r="K31" s="33">
        <v>370</v>
      </c>
      <c r="L31" s="33"/>
    </row>
    <row r="32" spans="1:15">
      <c r="B32" s="4" t="s">
        <v>199</v>
      </c>
      <c r="E32" s="197">
        <f>+E30-D31</f>
        <v>-244</v>
      </c>
      <c r="I32" s="197">
        <f>+I30-H31</f>
        <v>250</v>
      </c>
      <c r="L32" s="196">
        <v>0</v>
      </c>
    </row>
    <row r="34" spans="1:20" ht="18" customHeight="1">
      <c r="A34" s="13" t="s">
        <v>312</v>
      </c>
      <c r="B34" s="136" t="s">
        <v>518</v>
      </c>
      <c r="C34" s="14"/>
      <c r="D34" s="14"/>
      <c r="E34" s="14"/>
      <c r="F34" s="14"/>
      <c r="G34" s="14"/>
      <c r="H34" s="14"/>
      <c r="I34" s="14"/>
      <c r="J34" s="14"/>
      <c r="K34" s="14"/>
      <c r="L34" s="14"/>
      <c r="M34" s="14"/>
      <c r="N34" s="14"/>
      <c r="O34" s="14"/>
      <c r="P34" s="14"/>
      <c r="Q34" s="14"/>
      <c r="R34" s="14"/>
      <c r="S34" s="14"/>
      <c r="T34" s="15"/>
    </row>
    <row r="35" spans="1:20">
      <c r="A35" s="16" t="s">
        <v>517</v>
      </c>
      <c r="B35" s="17"/>
      <c r="C35" s="17"/>
      <c r="D35" s="17"/>
      <c r="E35" s="17"/>
      <c r="F35" s="17"/>
      <c r="G35" s="17"/>
      <c r="H35" s="17"/>
      <c r="I35" s="17"/>
      <c r="J35" s="17"/>
      <c r="K35" s="17"/>
      <c r="L35" s="17"/>
      <c r="M35" s="17"/>
      <c r="N35" s="17"/>
      <c r="O35" s="17"/>
      <c r="P35" s="17"/>
      <c r="Q35" s="17"/>
      <c r="R35" s="17"/>
      <c r="S35" s="17"/>
      <c r="T35" s="18"/>
    </row>
    <row r="36" spans="1:20">
      <c r="A36" s="16" t="s">
        <v>516</v>
      </c>
      <c r="B36" s="17"/>
      <c r="C36" s="17"/>
      <c r="D36" s="17"/>
      <c r="E36" s="17"/>
      <c r="F36" s="17"/>
      <c r="G36" s="17"/>
      <c r="H36" s="17"/>
      <c r="I36" s="17"/>
      <c r="J36" s="17"/>
      <c r="K36" s="17"/>
      <c r="L36" s="17"/>
      <c r="M36" s="17"/>
      <c r="N36" s="17"/>
      <c r="O36" s="17"/>
      <c r="P36" s="17"/>
      <c r="Q36" s="17"/>
      <c r="R36" s="17"/>
      <c r="S36" s="17"/>
      <c r="T36" s="18"/>
    </row>
    <row r="37" spans="1:20">
      <c r="A37" s="19" t="s">
        <v>573</v>
      </c>
      <c r="B37" s="20"/>
      <c r="C37" s="20"/>
      <c r="D37" s="20"/>
      <c r="E37" s="20"/>
      <c r="F37" s="20"/>
      <c r="G37" s="20"/>
      <c r="H37" s="20"/>
      <c r="I37" s="20"/>
      <c r="J37" s="20"/>
      <c r="K37" s="20"/>
      <c r="L37" s="20"/>
      <c r="M37" s="20"/>
      <c r="N37" s="20"/>
      <c r="O37" s="20"/>
      <c r="P37" s="20"/>
      <c r="Q37" s="20"/>
      <c r="R37" s="20"/>
      <c r="S37" s="20"/>
      <c r="T37" s="21"/>
    </row>
    <row r="40" spans="1:20">
      <c r="A40" s="4" t="s">
        <v>515</v>
      </c>
      <c r="J40" s="4" t="s">
        <v>514</v>
      </c>
      <c r="O40" s="4" t="s">
        <v>210</v>
      </c>
    </row>
    <row r="41" spans="1:20">
      <c r="C41" s="4" t="s">
        <v>552</v>
      </c>
      <c r="D41" s="4" t="s">
        <v>553</v>
      </c>
      <c r="E41" s="4" t="s">
        <v>502</v>
      </c>
      <c r="F41" s="4" t="s">
        <v>501</v>
      </c>
      <c r="G41" s="4" t="s">
        <v>500</v>
      </c>
      <c r="H41" s="4" t="s">
        <v>499</v>
      </c>
      <c r="J41" s="4" t="s">
        <v>211</v>
      </c>
      <c r="P41" s="4" t="s">
        <v>211</v>
      </c>
      <c r="Q41" s="4" t="s">
        <v>212</v>
      </c>
    </row>
    <row r="42" spans="1:20">
      <c r="B42" s="12"/>
      <c r="C42" s="47"/>
      <c r="D42" s="43"/>
      <c r="E42" s="43"/>
      <c r="F42" s="44"/>
      <c r="G42" s="44"/>
      <c r="H42" s="44"/>
      <c r="J42" s="195" t="s">
        <v>507</v>
      </c>
      <c r="K42" s="194">
        <v>380</v>
      </c>
      <c r="L42" s="71" t="s">
        <v>508</v>
      </c>
      <c r="M42" s="73">
        <v>520</v>
      </c>
      <c r="O42" s="4" t="s">
        <v>513</v>
      </c>
      <c r="P42" s="4">
        <v>200</v>
      </c>
      <c r="Q42" s="4">
        <v>50</v>
      </c>
    </row>
    <row r="43" spans="1:20">
      <c r="B43" s="12"/>
      <c r="C43" s="45"/>
      <c r="D43" s="46"/>
      <c r="E43" s="46"/>
      <c r="F43" s="46"/>
      <c r="G43" s="46"/>
      <c r="H43" s="46"/>
      <c r="J43" s="193" t="s">
        <v>9</v>
      </c>
      <c r="K43" s="192">
        <f>+Q44</f>
        <v>10</v>
      </c>
      <c r="L43" s="74"/>
      <c r="M43" s="75"/>
      <c r="O43" s="4" t="s">
        <v>158</v>
      </c>
      <c r="P43" s="4">
        <v>5</v>
      </c>
      <c r="Q43" s="4">
        <v>5</v>
      </c>
    </row>
    <row r="44" spans="1:20">
      <c r="A44" s="4" t="s">
        <v>557</v>
      </c>
      <c r="B44" s="12" t="s">
        <v>508</v>
      </c>
      <c r="C44" s="12"/>
      <c r="D44" s="4">
        <v>520</v>
      </c>
      <c r="E44" s="4" t="s">
        <v>421</v>
      </c>
      <c r="F44" s="4" t="s">
        <v>421</v>
      </c>
      <c r="G44" s="4" t="s">
        <v>421</v>
      </c>
      <c r="H44" s="4" t="s">
        <v>421</v>
      </c>
      <c r="J44" s="84" t="s">
        <v>511</v>
      </c>
      <c r="K44" s="191">
        <f>+M42-SUM(K42:K43)</f>
        <v>130</v>
      </c>
      <c r="L44" s="74"/>
      <c r="M44" s="75"/>
      <c r="O44" s="4" t="s">
        <v>60</v>
      </c>
      <c r="P44" s="4">
        <f>+P42/P43</f>
        <v>40</v>
      </c>
      <c r="Q44" s="4">
        <f>+Q42/Q43</f>
        <v>10</v>
      </c>
    </row>
    <row r="45" spans="1:20">
      <c r="A45" s="4" t="s">
        <v>558</v>
      </c>
      <c r="B45" s="12" t="s">
        <v>507</v>
      </c>
      <c r="C45" s="12"/>
      <c r="D45" s="4">
        <v>380</v>
      </c>
      <c r="E45" s="4" t="s">
        <v>421</v>
      </c>
      <c r="F45" s="4" t="s">
        <v>421</v>
      </c>
      <c r="G45" s="4" t="s">
        <v>421</v>
      </c>
      <c r="H45" s="4" t="s">
        <v>421</v>
      </c>
      <c r="J45" s="84" t="s">
        <v>510</v>
      </c>
      <c r="K45" s="191" t="s">
        <v>200</v>
      </c>
      <c r="L45" s="74"/>
      <c r="M45" s="75"/>
    </row>
    <row r="46" spans="1:20">
      <c r="A46" s="4" t="s">
        <v>556</v>
      </c>
      <c r="B46" s="4" t="s">
        <v>9</v>
      </c>
      <c r="D46" s="4">
        <f>+Q44</f>
        <v>10</v>
      </c>
      <c r="E46" s="4" t="s">
        <v>421</v>
      </c>
      <c r="F46" s="4" t="s">
        <v>421</v>
      </c>
      <c r="G46" s="4" t="s">
        <v>421</v>
      </c>
      <c r="H46" s="4" t="s">
        <v>421</v>
      </c>
      <c r="J46" s="128">
        <f>+K44*0.7</f>
        <v>91</v>
      </c>
      <c r="K46" s="33">
        <f>+K44*0.3</f>
        <v>39</v>
      </c>
      <c r="L46" s="76"/>
      <c r="M46" s="77"/>
    </row>
    <row r="47" spans="1:20">
      <c r="B47" s="4" t="s">
        <v>506</v>
      </c>
      <c r="D47" s="210">
        <f>+K47</f>
        <v>101</v>
      </c>
      <c r="E47" s="4" t="s">
        <v>421</v>
      </c>
      <c r="F47" s="4" t="s">
        <v>421</v>
      </c>
      <c r="G47" s="4" t="s">
        <v>421</v>
      </c>
      <c r="H47" s="4" t="s">
        <v>421</v>
      </c>
      <c r="J47" s="4" t="s">
        <v>496</v>
      </c>
      <c r="K47" s="210">
        <f>+J46+K43</f>
        <v>101</v>
      </c>
    </row>
    <row r="48" spans="1:20">
      <c r="B48" s="126" t="s">
        <v>505</v>
      </c>
      <c r="H48" s="126">
        <v>-5</v>
      </c>
    </row>
    <row r="49" spans="1:13">
      <c r="B49" s="126" t="s">
        <v>504</v>
      </c>
      <c r="H49" s="189">
        <f>-H48*0.3</f>
        <v>1.5</v>
      </c>
    </row>
    <row r="50" spans="1:13">
      <c r="H50" s="87"/>
      <c r="J50" s="4" t="s">
        <v>212</v>
      </c>
    </row>
    <row r="51" spans="1:13">
      <c r="J51" s="195" t="s">
        <v>507</v>
      </c>
      <c r="K51" s="194">
        <f>+D62</f>
        <v>370</v>
      </c>
      <c r="L51" s="71" t="s">
        <v>508</v>
      </c>
      <c r="M51" s="73">
        <f>+D61</f>
        <v>580</v>
      </c>
    </row>
    <row r="52" spans="1:13">
      <c r="A52" s="4" t="s">
        <v>512</v>
      </c>
      <c r="J52" s="193" t="s">
        <v>9</v>
      </c>
      <c r="K52" s="192">
        <f>+P44</f>
        <v>40</v>
      </c>
      <c r="L52" s="74"/>
      <c r="M52" s="75"/>
    </row>
    <row r="53" spans="1:13">
      <c r="C53" s="4" t="s">
        <v>552</v>
      </c>
      <c r="D53" s="4" t="s">
        <v>553</v>
      </c>
      <c r="E53" s="4" t="s">
        <v>502</v>
      </c>
      <c r="F53" s="4" t="s">
        <v>501</v>
      </c>
      <c r="G53" s="4" t="s">
        <v>500</v>
      </c>
      <c r="H53" s="4" t="s">
        <v>499</v>
      </c>
      <c r="J53" s="84" t="s">
        <v>511</v>
      </c>
      <c r="K53" s="191">
        <f>+M51-SUM(K51:K52)</f>
        <v>170</v>
      </c>
      <c r="L53" s="74"/>
      <c r="M53" s="75"/>
    </row>
    <row r="54" spans="1:13">
      <c r="B54" s="12"/>
      <c r="C54" s="47"/>
      <c r="D54" s="43"/>
      <c r="E54" s="43"/>
      <c r="F54" s="44"/>
      <c r="G54" s="44"/>
      <c r="H54" s="44"/>
      <c r="J54" s="84" t="s">
        <v>510</v>
      </c>
      <c r="K54" s="191" t="s">
        <v>200</v>
      </c>
      <c r="L54" s="74"/>
      <c r="M54" s="75"/>
    </row>
    <row r="55" spans="1:13">
      <c r="B55" s="12"/>
      <c r="C55" s="45"/>
      <c r="D55" s="46"/>
      <c r="E55" s="46"/>
      <c r="F55" s="46"/>
      <c r="G55" s="46"/>
      <c r="H55" s="46"/>
      <c r="J55" s="128">
        <f>+K53*0.7</f>
        <v>118.99999999999999</v>
      </c>
      <c r="K55" s="33">
        <f>+K53*0.3</f>
        <v>51</v>
      </c>
      <c r="L55" s="76"/>
      <c r="M55" s="77"/>
    </row>
    <row r="56" spans="1:13">
      <c r="A56" s="4" t="s">
        <v>554</v>
      </c>
      <c r="B56" s="12" t="s">
        <v>498</v>
      </c>
      <c r="C56" s="12">
        <v>-200</v>
      </c>
      <c r="D56" s="12"/>
      <c r="E56" s="12"/>
      <c r="J56" s="4" t="s">
        <v>496</v>
      </c>
      <c r="K56" s="210">
        <f>+J55+K52</f>
        <v>159</v>
      </c>
    </row>
    <row r="57" spans="1:13">
      <c r="A57" s="4" t="s">
        <v>555</v>
      </c>
      <c r="B57" s="12" t="s">
        <v>497</v>
      </c>
      <c r="C57" s="12">
        <v>-10</v>
      </c>
      <c r="D57" s="12" t="s">
        <v>560</v>
      </c>
      <c r="E57" s="12"/>
    </row>
    <row r="58" spans="1:13">
      <c r="A58" s="190" t="s">
        <v>556</v>
      </c>
      <c r="B58" s="208" t="s">
        <v>509</v>
      </c>
      <c r="C58" s="208">
        <v>-50</v>
      </c>
      <c r="D58" s="12" t="s">
        <v>561</v>
      </c>
      <c r="E58" s="12"/>
    </row>
    <row r="59" spans="1:13">
      <c r="A59" s="4" t="s">
        <v>557</v>
      </c>
      <c r="B59" s="12" t="s">
        <v>504</v>
      </c>
      <c r="C59" s="12"/>
      <c r="D59" s="12">
        <f>+SUM(C57:C58)*-0.3</f>
        <v>18</v>
      </c>
      <c r="E59" s="209"/>
    </row>
    <row r="61" spans="1:13">
      <c r="A61" s="4" t="s">
        <v>557</v>
      </c>
      <c r="B61" s="12" t="s">
        <v>508</v>
      </c>
      <c r="C61" s="12"/>
      <c r="D61" s="4">
        <f>520+60</f>
        <v>580</v>
      </c>
      <c r="E61" s="4" t="s">
        <v>421</v>
      </c>
      <c r="F61" s="4" t="s">
        <v>421</v>
      </c>
      <c r="G61" s="4" t="s">
        <v>421</v>
      </c>
      <c r="H61" s="4" t="s">
        <v>421</v>
      </c>
    </row>
    <row r="62" spans="1:13">
      <c r="A62" s="4" t="s">
        <v>558</v>
      </c>
      <c r="B62" s="12" t="s">
        <v>507</v>
      </c>
      <c r="C62" s="12"/>
      <c r="D62" s="4">
        <f>330+40</f>
        <v>370</v>
      </c>
      <c r="E62" s="4" t="s">
        <v>421</v>
      </c>
      <c r="F62" s="4" t="s">
        <v>421</v>
      </c>
      <c r="G62" s="4" t="s">
        <v>421</v>
      </c>
      <c r="H62" s="4" t="s">
        <v>421</v>
      </c>
    </row>
    <row r="63" spans="1:13">
      <c r="A63" s="4" t="s">
        <v>556</v>
      </c>
      <c r="B63" s="4" t="s">
        <v>9</v>
      </c>
      <c r="D63" s="4">
        <f>+P44</f>
        <v>40</v>
      </c>
      <c r="E63" s="4" t="s">
        <v>421</v>
      </c>
      <c r="F63" s="4" t="s">
        <v>421</v>
      </c>
      <c r="G63" s="4" t="s">
        <v>421</v>
      </c>
      <c r="H63" s="4" t="s">
        <v>421</v>
      </c>
    </row>
    <row r="64" spans="1:13">
      <c r="B64" s="4" t="s">
        <v>506</v>
      </c>
      <c r="D64" s="210">
        <f>+K56</f>
        <v>159</v>
      </c>
      <c r="E64" s="4" t="s">
        <v>421</v>
      </c>
      <c r="F64" s="4" t="s">
        <v>421</v>
      </c>
      <c r="G64" s="4" t="s">
        <v>421</v>
      </c>
      <c r="H64" s="4" t="s">
        <v>421</v>
      </c>
    </row>
    <row r="65" spans="1:9">
      <c r="B65" s="126" t="s">
        <v>505</v>
      </c>
      <c r="H65" s="126">
        <v>-5</v>
      </c>
      <c r="I65" s="4" t="s">
        <v>562</v>
      </c>
    </row>
    <row r="66" spans="1:9">
      <c r="B66" s="126" t="s">
        <v>504</v>
      </c>
      <c r="H66" s="189">
        <f>+H65*0.3</f>
        <v>-1.5</v>
      </c>
    </row>
    <row r="68" spans="1:9">
      <c r="A68" s="4" t="s">
        <v>503</v>
      </c>
      <c r="C68" s="4" t="s">
        <v>552</v>
      </c>
      <c r="D68" s="4" t="s">
        <v>553</v>
      </c>
      <c r="E68" s="4" t="s">
        <v>502</v>
      </c>
      <c r="F68" s="4" t="s">
        <v>501</v>
      </c>
      <c r="G68" s="4" t="s">
        <v>500</v>
      </c>
      <c r="H68" s="4" t="s">
        <v>499</v>
      </c>
    </row>
    <row r="69" spans="1:9">
      <c r="C69" s="47"/>
      <c r="D69" s="43"/>
      <c r="E69" s="43"/>
      <c r="F69" s="44"/>
      <c r="G69" s="44"/>
      <c r="H69" s="44"/>
    </row>
    <row r="70" spans="1:9">
      <c r="C70" s="45"/>
      <c r="D70" s="46"/>
      <c r="E70" s="46"/>
      <c r="F70" s="46"/>
      <c r="G70" s="46"/>
      <c r="H70" s="46"/>
    </row>
    <row r="71" spans="1:9">
      <c r="A71" s="4" t="s">
        <v>559</v>
      </c>
      <c r="B71" s="4" t="s">
        <v>498</v>
      </c>
      <c r="C71" s="131">
        <f>+C56</f>
        <v>-200</v>
      </c>
      <c r="D71" s="131"/>
      <c r="E71" s="131"/>
      <c r="F71" s="131"/>
      <c r="G71" s="131"/>
      <c r="H71" s="131"/>
    </row>
    <row r="72" spans="1:9">
      <c r="A72" s="4" t="s">
        <v>559</v>
      </c>
      <c r="B72" s="4" t="s">
        <v>497</v>
      </c>
      <c r="C72" s="131">
        <f>+C57</f>
        <v>-10</v>
      </c>
      <c r="D72" s="131"/>
      <c r="E72" s="131"/>
      <c r="F72" s="131"/>
      <c r="G72" s="131"/>
      <c r="H72" s="131"/>
    </row>
    <row r="73" spans="1:9">
      <c r="A73" s="4" t="s">
        <v>557</v>
      </c>
      <c r="B73" s="4" t="s">
        <v>213</v>
      </c>
      <c r="C73" s="131"/>
      <c r="D73" s="211">
        <f>+D59</f>
        <v>18</v>
      </c>
      <c r="E73" s="131"/>
      <c r="F73" s="131"/>
      <c r="G73" s="131"/>
      <c r="H73" s="131"/>
    </row>
    <row r="74" spans="1:9">
      <c r="B74" s="4" t="s">
        <v>496</v>
      </c>
      <c r="C74" s="131"/>
      <c r="D74" s="131">
        <f>+D64-D47</f>
        <v>58</v>
      </c>
      <c r="E74" s="131">
        <f>+D74</f>
        <v>58</v>
      </c>
      <c r="F74" s="131">
        <f>+E74</f>
        <v>58</v>
      </c>
      <c r="G74" s="131">
        <f>+F74</f>
        <v>58</v>
      </c>
      <c r="H74" s="131">
        <f>+G74</f>
        <v>58</v>
      </c>
    </row>
    <row r="75" spans="1:9">
      <c r="B75" s="188" t="s">
        <v>495</v>
      </c>
      <c r="C75" s="187">
        <f t="shared" ref="C75:H75" si="0">+SUM(C71:C74)</f>
        <v>-210</v>
      </c>
      <c r="D75" s="212">
        <f t="shared" si="0"/>
        <v>76</v>
      </c>
      <c r="E75" s="187">
        <f t="shared" si="0"/>
        <v>58</v>
      </c>
      <c r="F75" s="187">
        <f t="shared" si="0"/>
        <v>58</v>
      </c>
      <c r="G75" s="187">
        <f t="shared" si="0"/>
        <v>58</v>
      </c>
      <c r="H75" s="187">
        <f t="shared" si="0"/>
        <v>58</v>
      </c>
    </row>
    <row r="76" spans="1:9">
      <c r="B76" s="4" t="s">
        <v>227</v>
      </c>
      <c r="C76" s="131">
        <f>+C75</f>
        <v>-210</v>
      </c>
      <c r="D76" s="131">
        <f>+D75*D79</f>
        <v>71.029600000000002</v>
      </c>
      <c r="E76" s="439">
        <f>+E75*E80</f>
        <v>183.60480000000001</v>
      </c>
      <c r="F76" s="440"/>
      <c r="G76" s="440"/>
      <c r="H76" s="441"/>
    </row>
    <row r="77" spans="1:9">
      <c r="B77" s="64" t="s">
        <v>177</v>
      </c>
      <c r="C77" s="89">
        <f>+SUM(C76:H76)</f>
        <v>44.634400000000028</v>
      </c>
      <c r="D77" s="186" t="s">
        <v>494</v>
      </c>
      <c r="E77" s="131"/>
      <c r="F77" s="131"/>
      <c r="G77" s="131"/>
      <c r="H77" s="131" t="s">
        <v>493</v>
      </c>
    </row>
    <row r="78" spans="1:9">
      <c r="C78" s="131"/>
      <c r="D78" s="131"/>
      <c r="E78" s="131"/>
      <c r="F78" s="131"/>
      <c r="G78" s="131"/>
      <c r="H78" s="131"/>
    </row>
    <row r="79" spans="1:9">
      <c r="B79" s="4" t="s">
        <v>176</v>
      </c>
      <c r="C79" s="131"/>
      <c r="D79" s="185">
        <v>0.93459999999999999</v>
      </c>
      <c r="E79" s="185">
        <v>0.87339999999999995</v>
      </c>
      <c r="F79" s="185">
        <v>0.81630000000000003</v>
      </c>
      <c r="G79" s="185">
        <v>0.76290000000000002</v>
      </c>
      <c r="H79" s="185">
        <v>0.71299999999999997</v>
      </c>
    </row>
    <row r="80" spans="1:9">
      <c r="C80" s="131"/>
      <c r="D80" s="131"/>
      <c r="E80" s="436">
        <f>+SUM(E79:H79)</f>
        <v>3.1656</v>
      </c>
      <c r="F80" s="437"/>
      <c r="G80" s="437"/>
      <c r="H80" s="438"/>
      <c r="I80" s="4" t="s">
        <v>492</v>
      </c>
    </row>
    <row r="81" spans="1:20">
      <c r="C81" s="131"/>
      <c r="D81" s="131"/>
      <c r="E81" s="213"/>
      <c r="F81" s="213"/>
      <c r="G81" s="213"/>
      <c r="H81" s="213"/>
    </row>
    <row r="82" spans="1:20">
      <c r="A82" s="442" t="s">
        <v>572</v>
      </c>
      <c r="B82" s="214" t="s">
        <v>491</v>
      </c>
      <c r="C82" s="214"/>
      <c r="D82" s="12" t="s">
        <v>568</v>
      </c>
      <c r="E82" s="214"/>
      <c r="F82" s="214"/>
      <c r="G82" s="214"/>
      <c r="H82" s="12" t="s">
        <v>569</v>
      </c>
      <c r="I82" s="215" t="s">
        <v>571</v>
      </c>
      <c r="J82" s="214"/>
      <c r="K82" s="214"/>
      <c r="L82" s="214"/>
    </row>
    <row r="83" spans="1:20">
      <c r="A83" s="443"/>
      <c r="B83" s="214"/>
      <c r="C83" s="214"/>
      <c r="D83" s="12"/>
      <c r="E83" s="214"/>
      <c r="F83" s="214"/>
      <c r="G83" s="214"/>
      <c r="H83" s="12"/>
      <c r="I83" s="215" t="s">
        <v>570</v>
      </c>
      <c r="J83" s="214"/>
      <c r="K83" s="214"/>
      <c r="L83" s="214"/>
    </row>
    <row r="84" spans="1:20">
      <c r="A84" s="443"/>
      <c r="B84" s="214" t="s">
        <v>490</v>
      </c>
      <c r="C84" s="214"/>
      <c r="D84" s="217">
        <f>+(M51-K51-K52)-(M42-K42-K43)</f>
        <v>40</v>
      </c>
      <c r="E84" s="214" t="s">
        <v>564</v>
      </c>
      <c r="F84" s="214"/>
      <c r="G84" s="214"/>
      <c r="H84" s="217">
        <f>+D84+SUM(C57:C58)</f>
        <v>-20</v>
      </c>
      <c r="I84" s="216" t="s">
        <v>566</v>
      </c>
      <c r="J84" s="214"/>
      <c r="K84" s="214"/>
      <c r="L84" s="214"/>
    </row>
    <row r="85" spans="1:20">
      <c r="A85" s="443"/>
      <c r="B85" s="214" t="s">
        <v>489</v>
      </c>
      <c r="C85" s="214"/>
      <c r="D85" s="218">
        <f>-(K55-K46)+D73</f>
        <v>6</v>
      </c>
      <c r="E85" s="214" t="s">
        <v>563</v>
      </c>
      <c r="F85" s="214"/>
      <c r="G85" s="214"/>
      <c r="H85" s="218">
        <f>+D85</f>
        <v>6</v>
      </c>
      <c r="I85" s="214"/>
      <c r="J85" s="214"/>
      <c r="K85" s="214"/>
      <c r="L85" s="214"/>
    </row>
    <row r="86" spans="1:20">
      <c r="A86" s="443"/>
      <c r="B86" s="214" t="s">
        <v>488</v>
      </c>
      <c r="C86" s="214"/>
      <c r="D86" s="12">
        <f>+SUM(D84:D85)</f>
        <v>46</v>
      </c>
      <c r="E86" s="214"/>
      <c r="F86" s="214"/>
      <c r="G86" s="214"/>
      <c r="H86" s="12">
        <f>+SUM(H84:H85)</f>
        <v>-14</v>
      </c>
      <c r="I86" s="214"/>
      <c r="J86" s="214"/>
      <c r="K86" s="214"/>
      <c r="L86" s="214"/>
    </row>
    <row r="87" spans="1:20">
      <c r="A87" s="443"/>
      <c r="B87" s="214" t="s">
        <v>487</v>
      </c>
      <c r="C87" s="214"/>
      <c r="D87" s="217">
        <f>+K52-K43</f>
        <v>30</v>
      </c>
      <c r="E87" s="214" t="s">
        <v>565</v>
      </c>
      <c r="F87" s="214"/>
      <c r="G87" s="214"/>
      <c r="H87" s="217">
        <f>+D87-SUM(C57:C58)</f>
        <v>90</v>
      </c>
      <c r="I87" s="216" t="s">
        <v>567</v>
      </c>
      <c r="J87" s="214"/>
      <c r="K87" s="214"/>
      <c r="L87" s="214"/>
    </row>
    <row r="88" spans="1:20" ht="16.8" thickBot="1">
      <c r="A88" s="444"/>
      <c r="B88" s="214" t="s">
        <v>486</v>
      </c>
      <c r="C88" s="214"/>
      <c r="D88" s="38">
        <f>+SUM(D86:D87)</f>
        <v>76</v>
      </c>
      <c r="E88" s="214"/>
      <c r="F88" s="214"/>
      <c r="G88" s="214"/>
      <c r="H88" s="38">
        <f>+SUM(H86:H87)</f>
        <v>76</v>
      </c>
      <c r="I88" s="214"/>
      <c r="J88" s="214"/>
      <c r="K88" s="214"/>
      <c r="L88" s="214"/>
    </row>
    <row r="89" spans="1:20" ht="16.8" thickTop="1"/>
    <row r="90" spans="1:20" ht="18" customHeight="1">
      <c r="A90" s="13" t="s">
        <v>74</v>
      </c>
      <c r="B90" s="136" t="s">
        <v>485</v>
      </c>
      <c r="C90" s="14"/>
      <c r="D90" s="14"/>
      <c r="E90" s="14"/>
      <c r="F90" s="14"/>
      <c r="G90" s="14"/>
      <c r="H90" s="14"/>
      <c r="I90" s="14"/>
      <c r="J90" s="14"/>
      <c r="K90" s="14"/>
      <c r="L90" s="14"/>
      <c r="M90" s="14"/>
      <c r="N90" s="14"/>
      <c r="O90" s="14"/>
      <c r="P90" s="14"/>
      <c r="Q90" s="14"/>
      <c r="R90" s="14"/>
      <c r="S90" s="14"/>
      <c r="T90" s="15"/>
    </row>
    <row r="91" spans="1:20">
      <c r="A91" s="16" t="s">
        <v>484</v>
      </c>
      <c r="B91" s="17"/>
      <c r="C91" s="17"/>
      <c r="D91" s="17"/>
      <c r="E91" s="17"/>
      <c r="F91" s="17"/>
      <c r="G91" s="17"/>
      <c r="H91" s="17"/>
      <c r="I91" s="17"/>
      <c r="J91" s="17"/>
      <c r="K91" s="17"/>
      <c r="L91" s="17"/>
      <c r="M91" s="17"/>
      <c r="N91" s="17"/>
      <c r="O91" s="17"/>
      <c r="P91" s="17"/>
      <c r="Q91" s="17"/>
      <c r="R91" s="17"/>
      <c r="S91" s="17"/>
      <c r="T91" s="18"/>
    </row>
    <row r="92" spans="1:20">
      <c r="A92" s="16" t="s">
        <v>483</v>
      </c>
      <c r="B92" s="17"/>
      <c r="C92" s="17"/>
      <c r="D92" s="17"/>
      <c r="E92" s="17"/>
      <c r="F92" s="17"/>
      <c r="G92" s="17"/>
      <c r="H92" s="17"/>
      <c r="I92" s="17"/>
      <c r="J92" s="17"/>
      <c r="K92" s="17"/>
      <c r="L92" s="17"/>
      <c r="M92" s="17"/>
      <c r="N92" s="17"/>
      <c r="O92" s="17"/>
      <c r="P92" s="17"/>
      <c r="Q92" s="17"/>
      <c r="R92" s="17"/>
      <c r="S92" s="17"/>
      <c r="T92" s="18"/>
    </row>
    <row r="93" spans="1:20">
      <c r="A93" s="19" t="s">
        <v>482</v>
      </c>
      <c r="B93" s="20"/>
      <c r="C93" s="20"/>
      <c r="D93" s="20"/>
      <c r="E93" s="20"/>
      <c r="F93" s="20"/>
      <c r="G93" s="20"/>
      <c r="H93" s="20"/>
      <c r="I93" s="20"/>
      <c r="J93" s="20"/>
      <c r="K93" s="20"/>
      <c r="L93" s="20"/>
      <c r="M93" s="20"/>
      <c r="N93" s="20"/>
      <c r="O93" s="20"/>
      <c r="P93" s="20"/>
      <c r="Q93" s="20"/>
      <c r="R93" s="20"/>
      <c r="S93" s="20"/>
      <c r="T93" s="21"/>
    </row>
  </sheetData>
  <mergeCells count="3">
    <mergeCell ref="E80:H80"/>
    <mergeCell ref="E76:H76"/>
    <mergeCell ref="A82:A88"/>
  </mergeCells>
  <phoneticPr fontId="3"/>
  <pageMargins left="0.25" right="0.25" top="0.75" bottom="0.75" header="0.3" footer="0.3"/>
  <pageSetup paperSize="9" scale="6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90"/>
  <sheetViews>
    <sheetView zoomScale="85" zoomScaleNormal="85" workbookViewId="0">
      <selection activeCell="C94" sqref="C94:C100"/>
    </sheetView>
  </sheetViews>
  <sheetFormatPr defaultColWidth="12" defaultRowHeight="16.2"/>
  <cols>
    <col min="1" max="1" width="12.109375" style="4" customWidth="1"/>
    <col min="2" max="5" width="13.109375" style="4" customWidth="1"/>
    <col min="6" max="8" width="12.6640625" style="4" customWidth="1"/>
    <col min="9" max="12" width="13.109375" style="4" customWidth="1"/>
    <col min="13" max="13" width="12" style="4"/>
    <col min="14" max="14" width="11.88671875" style="4" customWidth="1"/>
    <col min="15" max="16384" width="12" style="4"/>
  </cols>
  <sheetData>
    <row r="1" spans="1:20">
      <c r="A1" s="1" t="s">
        <v>0</v>
      </c>
      <c r="B1" s="2"/>
      <c r="C1" s="2"/>
      <c r="D1" s="2"/>
      <c r="E1" s="2"/>
      <c r="F1" s="2"/>
      <c r="G1" s="2"/>
      <c r="H1" s="2"/>
      <c r="I1" s="2"/>
      <c r="J1" s="2"/>
      <c r="K1" s="2"/>
      <c r="L1" s="2"/>
      <c r="M1" s="2"/>
      <c r="N1" s="2"/>
      <c r="O1" s="2"/>
      <c r="P1" s="2"/>
      <c r="Q1" s="2"/>
      <c r="R1" s="2"/>
      <c r="S1" s="3"/>
    </row>
    <row r="2" spans="1:20">
      <c r="A2" s="5" t="s">
        <v>1</v>
      </c>
      <c r="B2" s="6"/>
      <c r="C2" s="6"/>
      <c r="D2" s="6"/>
      <c r="E2" s="6"/>
      <c r="F2" s="6"/>
      <c r="G2" s="6"/>
      <c r="H2" s="6"/>
      <c r="I2" s="6"/>
      <c r="J2" s="6"/>
      <c r="K2" s="6"/>
      <c r="L2" s="6"/>
      <c r="M2" s="6"/>
      <c r="N2" s="6"/>
      <c r="O2" s="6"/>
      <c r="P2" s="6"/>
      <c r="Q2" s="6"/>
      <c r="R2" s="6"/>
      <c r="S2" s="7"/>
    </row>
    <row r="3" spans="1:20">
      <c r="A3" s="8"/>
      <c r="B3" s="9"/>
      <c r="C3" s="60" t="s">
        <v>98</v>
      </c>
      <c r="D3" s="9"/>
      <c r="E3" s="9"/>
      <c r="F3" s="9"/>
      <c r="G3" s="9"/>
      <c r="H3" s="9"/>
      <c r="I3" s="9"/>
      <c r="J3" s="9"/>
      <c r="K3" s="9"/>
      <c r="L3" s="9"/>
      <c r="M3" s="9"/>
      <c r="N3" s="9"/>
      <c r="O3" s="9"/>
      <c r="P3" s="9"/>
      <c r="Q3" s="9"/>
      <c r="R3" s="9"/>
      <c r="S3" s="10"/>
    </row>
    <row r="4" spans="1:20" s="12" customFormat="1">
      <c r="A4" s="11"/>
      <c r="B4" s="11"/>
      <c r="C4" s="11"/>
      <c r="D4" s="11"/>
      <c r="E4" s="11"/>
      <c r="F4" s="11"/>
      <c r="G4" s="11"/>
      <c r="H4" s="11"/>
      <c r="I4" s="11"/>
      <c r="J4" s="11"/>
      <c r="K4" s="11"/>
      <c r="L4" s="11"/>
      <c r="M4" s="11"/>
      <c r="N4" s="11"/>
      <c r="O4" s="11"/>
      <c r="P4" s="11"/>
      <c r="Q4" s="11"/>
      <c r="R4" s="11"/>
      <c r="S4" s="11"/>
    </row>
    <row r="5" spans="1:20" ht="18" customHeight="1">
      <c r="A5" s="13" t="s">
        <v>100</v>
      </c>
      <c r="B5" s="136" t="s">
        <v>408</v>
      </c>
      <c r="C5" s="14"/>
      <c r="D5" s="14"/>
      <c r="E5" s="14"/>
      <c r="F5" s="14"/>
      <c r="G5" s="14"/>
      <c r="H5" s="14"/>
      <c r="I5" s="14"/>
      <c r="J5" s="14"/>
      <c r="K5" s="14"/>
      <c r="L5" s="14"/>
      <c r="M5" s="14"/>
      <c r="N5" s="14"/>
      <c r="O5" s="14"/>
      <c r="P5" s="14"/>
      <c r="Q5" s="14"/>
      <c r="R5" s="14"/>
      <c r="S5" s="14"/>
      <c r="T5" s="15"/>
    </row>
    <row r="6" spans="1:20">
      <c r="A6" s="16" t="s">
        <v>94</v>
      </c>
      <c r="B6" s="17"/>
      <c r="C6" s="17"/>
      <c r="D6" s="17"/>
      <c r="E6" s="17"/>
      <c r="F6" s="17"/>
      <c r="G6" s="17"/>
      <c r="H6" s="17"/>
      <c r="I6" s="17"/>
      <c r="J6" s="17"/>
      <c r="K6" s="17"/>
      <c r="L6" s="17"/>
      <c r="M6" s="17"/>
      <c r="N6" s="17"/>
      <c r="O6" s="17"/>
      <c r="P6" s="17"/>
      <c r="Q6" s="17"/>
      <c r="R6" s="17"/>
      <c r="S6" s="17"/>
      <c r="T6" s="18"/>
    </row>
    <row r="7" spans="1:20">
      <c r="A7" s="19" t="s">
        <v>95</v>
      </c>
      <c r="B7" s="20"/>
      <c r="C7" s="20"/>
      <c r="D7" s="20"/>
      <c r="E7" s="20"/>
      <c r="F7" s="20"/>
      <c r="G7" s="20"/>
      <c r="H7" s="20"/>
      <c r="I7" s="20"/>
      <c r="J7" s="20"/>
      <c r="K7" s="20"/>
      <c r="L7" s="20"/>
      <c r="M7" s="20"/>
      <c r="N7" s="20"/>
      <c r="O7" s="20"/>
      <c r="P7" s="20"/>
      <c r="Q7" s="20"/>
      <c r="R7" s="20"/>
      <c r="S7" s="20"/>
      <c r="T7" s="21"/>
    </row>
    <row r="8" spans="1:20" s="12" customFormat="1" ht="17.25" customHeight="1">
      <c r="A8" s="22"/>
      <c r="B8" s="22"/>
      <c r="C8" s="22"/>
      <c r="D8" s="22"/>
      <c r="E8" s="22"/>
      <c r="F8" s="22"/>
      <c r="G8" s="22"/>
      <c r="H8" s="22"/>
      <c r="I8" s="22"/>
      <c r="J8" s="22"/>
      <c r="K8" s="22"/>
      <c r="L8" s="22"/>
      <c r="M8" s="22"/>
      <c r="N8" s="22"/>
      <c r="O8" s="22"/>
      <c r="P8" s="22"/>
      <c r="Q8" s="22"/>
      <c r="R8" s="22"/>
      <c r="S8" s="22"/>
      <c r="T8" s="22"/>
    </row>
    <row r="9" spans="1:20">
      <c r="A9" s="4" t="s">
        <v>407</v>
      </c>
      <c r="F9" s="4" t="s">
        <v>4</v>
      </c>
    </row>
    <row r="10" spans="1:20">
      <c r="C10" s="4" t="s">
        <v>5</v>
      </c>
    </row>
    <row r="11" spans="1:20">
      <c r="A11" s="4" t="s">
        <v>6</v>
      </c>
      <c r="C11" s="4">
        <v>39</v>
      </c>
      <c r="F11" s="23"/>
      <c r="G11" s="24" t="s">
        <v>7</v>
      </c>
      <c r="H11" s="25" t="s">
        <v>8</v>
      </c>
      <c r="I11" s="23"/>
      <c r="J11" s="24" t="s">
        <v>7</v>
      </c>
      <c r="K11" s="25" t="s">
        <v>8</v>
      </c>
    </row>
    <row r="12" spans="1:20">
      <c r="A12" s="4" t="s">
        <v>9</v>
      </c>
      <c r="C12" s="26">
        <v>36</v>
      </c>
      <c r="D12" s="4" t="s">
        <v>10</v>
      </c>
      <c r="F12" s="27" t="s">
        <v>11</v>
      </c>
      <c r="G12" s="28"/>
      <c r="H12" s="29"/>
      <c r="I12" s="27" t="s">
        <v>12</v>
      </c>
      <c r="J12" s="28"/>
      <c r="K12" s="29"/>
    </row>
    <row r="13" spans="1:20">
      <c r="A13" s="4" t="s">
        <v>13</v>
      </c>
      <c r="C13" s="4">
        <v>56</v>
      </c>
      <c r="F13" s="27" t="s">
        <v>14</v>
      </c>
      <c r="G13" s="28">
        <f>+SUM(G14:G17)</f>
        <v>225</v>
      </c>
      <c r="H13" s="29">
        <f>+SUM(H14:H17)</f>
        <v>259</v>
      </c>
      <c r="I13" s="27" t="s">
        <v>15</v>
      </c>
      <c r="J13" s="28">
        <v>138</v>
      </c>
      <c r="K13" s="29">
        <v>465</v>
      </c>
    </row>
    <row r="14" spans="1:20">
      <c r="A14" s="4" t="s">
        <v>16</v>
      </c>
      <c r="C14" s="26">
        <v>-8</v>
      </c>
      <c r="D14" s="4" t="s">
        <v>10</v>
      </c>
      <c r="F14" s="27" t="s">
        <v>17</v>
      </c>
      <c r="G14" s="28">
        <v>164</v>
      </c>
      <c r="H14" s="29">
        <v>195</v>
      </c>
      <c r="I14" s="27" t="s">
        <v>18</v>
      </c>
      <c r="J14" s="30">
        <v>17</v>
      </c>
      <c r="K14" s="31">
        <v>20</v>
      </c>
    </row>
    <row r="15" spans="1:20">
      <c r="A15" s="4" t="s">
        <v>19</v>
      </c>
      <c r="C15" s="26">
        <v>20</v>
      </c>
      <c r="D15" s="4" t="s">
        <v>10</v>
      </c>
      <c r="F15" s="27" t="s">
        <v>20</v>
      </c>
      <c r="G15" s="30">
        <v>13</v>
      </c>
      <c r="H15" s="31">
        <v>14</v>
      </c>
      <c r="I15" s="27"/>
      <c r="J15" s="28"/>
      <c r="K15" s="29"/>
    </row>
    <row r="16" spans="1:20">
      <c r="A16" s="4" t="s">
        <v>21</v>
      </c>
      <c r="C16" s="32">
        <f>+G15-H15</f>
        <v>-1</v>
      </c>
      <c r="D16" s="4" t="s">
        <v>409</v>
      </c>
      <c r="F16" s="27" t="s">
        <v>22</v>
      </c>
      <c r="G16" s="30">
        <v>7</v>
      </c>
      <c r="H16" s="31">
        <v>10</v>
      </c>
      <c r="I16" s="27" t="s">
        <v>23</v>
      </c>
      <c r="J16" s="28"/>
      <c r="K16" s="29"/>
    </row>
    <row r="17" spans="1:12">
      <c r="A17" s="4" t="s">
        <v>24</v>
      </c>
      <c r="C17" s="32">
        <f>+G16-H16</f>
        <v>-3</v>
      </c>
      <c r="D17" s="4" t="s">
        <v>409</v>
      </c>
      <c r="F17" s="27" t="s">
        <v>25</v>
      </c>
      <c r="G17" s="28">
        <v>41</v>
      </c>
      <c r="H17" s="29">
        <v>40</v>
      </c>
      <c r="I17" s="27" t="s">
        <v>26</v>
      </c>
      <c r="J17" s="28"/>
      <c r="K17" s="29"/>
    </row>
    <row r="18" spans="1:12">
      <c r="A18" s="4" t="s">
        <v>27</v>
      </c>
      <c r="C18" s="32">
        <f>+K14-J14</f>
        <v>3</v>
      </c>
      <c r="D18" s="4" t="s">
        <v>409</v>
      </c>
      <c r="F18" s="27" t="s">
        <v>28</v>
      </c>
      <c r="G18" s="28">
        <f>+SUM(G19,G23,G24)</f>
        <v>371</v>
      </c>
      <c r="H18" s="29">
        <f>+SUM(H19,H23,H24)</f>
        <v>641</v>
      </c>
      <c r="I18" s="27"/>
      <c r="J18" s="28"/>
      <c r="K18" s="29"/>
    </row>
    <row r="19" spans="1:12">
      <c r="A19" s="4" t="s">
        <v>29</v>
      </c>
      <c r="C19" s="33">
        <v>13</v>
      </c>
      <c r="F19" s="27" t="s">
        <v>30</v>
      </c>
      <c r="G19" s="28">
        <f>+SUM(G20:G22)</f>
        <v>287</v>
      </c>
      <c r="H19" s="29">
        <f>+SUM(H20:H22)</f>
        <v>531</v>
      </c>
      <c r="I19" s="27" t="s">
        <v>31</v>
      </c>
      <c r="J19" s="28">
        <v>112</v>
      </c>
      <c r="K19" s="29">
        <v>66</v>
      </c>
    </row>
    <row r="20" spans="1:12">
      <c r="A20" s="4" t="s">
        <v>32</v>
      </c>
      <c r="C20" s="34">
        <f>+SUM(C11:C19)</f>
        <v>155</v>
      </c>
      <c r="F20" s="27" t="s">
        <v>33</v>
      </c>
      <c r="G20" s="28">
        <v>267</v>
      </c>
      <c r="H20" s="29">
        <v>191</v>
      </c>
      <c r="I20" s="27"/>
      <c r="J20" s="28"/>
      <c r="K20" s="29"/>
    </row>
    <row r="21" spans="1:12">
      <c r="A21" s="4" t="s">
        <v>34</v>
      </c>
      <c r="C21" s="4" t="s">
        <v>35</v>
      </c>
      <c r="F21" s="27" t="s">
        <v>36</v>
      </c>
      <c r="G21" s="28" t="s">
        <v>35</v>
      </c>
      <c r="H21" s="29">
        <v>320</v>
      </c>
      <c r="I21" s="27"/>
      <c r="J21" s="28"/>
      <c r="K21" s="29"/>
    </row>
    <row r="22" spans="1:12">
      <c r="A22" s="4" t="s">
        <v>37</v>
      </c>
      <c r="C22" s="4">
        <v>-4</v>
      </c>
      <c r="F22" s="27" t="s">
        <v>38</v>
      </c>
      <c r="G22" s="28">
        <v>20</v>
      </c>
      <c r="H22" s="29">
        <v>20</v>
      </c>
      <c r="I22" s="35" t="s">
        <v>39</v>
      </c>
      <c r="J22" s="36">
        <f>+SUM(J13,J19)</f>
        <v>250</v>
      </c>
      <c r="K22" s="37">
        <f>+SUM(K13,K19)</f>
        <v>531</v>
      </c>
    </row>
    <row r="23" spans="1:12">
      <c r="A23" s="4" t="s">
        <v>40</v>
      </c>
      <c r="C23" s="4">
        <v>-35</v>
      </c>
      <c r="F23" s="27" t="s">
        <v>41</v>
      </c>
      <c r="G23" s="28">
        <v>1</v>
      </c>
      <c r="H23" s="29">
        <v>2</v>
      </c>
      <c r="I23" s="27"/>
      <c r="J23" s="28"/>
      <c r="K23" s="29"/>
    </row>
    <row r="24" spans="1:12" ht="16.8" thickBot="1">
      <c r="A24" s="4" t="s">
        <v>42</v>
      </c>
      <c r="C24" s="38">
        <f>+SUM(C20:C23)</f>
        <v>116</v>
      </c>
      <c r="F24" s="27" t="s">
        <v>43</v>
      </c>
      <c r="G24" s="28">
        <v>83</v>
      </c>
      <c r="H24" s="29">
        <v>108</v>
      </c>
      <c r="I24" s="27" t="s">
        <v>23</v>
      </c>
      <c r="J24" s="28"/>
      <c r="K24" s="29"/>
    </row>
    <row r="25" spans="1:12" ht="16.8" thickTop="1">
      <c r="F25" s="27"/>
      <c r="G25" s="28"/>
      <c r="H25" s="29"/>
      <c r="I25" s="27" t="s">
        <v>44</v>
      </c>
      <c r="J25" s="28"/>
      <c r="K25" s="29"/>
    </row>
    <row r="26" spans="1:12">
      <c r="C26" s="4" t="s">
        <v>410</v>
      </c>
      <c r="F26" s="27"/>
      <c r="G26" s="28"/>
      <c r="H26" s="29"/>
      <c r="I26" s="23" t="s">
        <v>45</v>
      </c>
      <c r="J26" s="24">
        <v>346</v>
      </c>
      <c r="K26" s="25">
        <v>369</v>
      </c>
    </row>
    <row r="27" spans="1:12" ht="16.8" thickBot="1">
      <c r="C27" s="4" t="s">
        <v>411</v>
      </c>
      <c r="F27" s="39" t="s">
        <v>46</v>
      </c>
      <c r="G27" s="40">
        <f>+SUM(G13,G18)</f>
        <v>596</v>
      </c>
      <c r="H27" s="41">
        <f>+SUM(H13,H18)</f>
        <v>900</v>
      </c>
      <c r="I27" s="39" t="s">
        <v>47</v>
      </c>
      <c r="J27" s="40">
        <f>+SUM(J22,J26)</f>
        <v>596</v>
      </c>
      <c r="K27" s="41">
        <f>+SUM(K22,K26)</f>
        <v>900</v>
      </c>
    </row>
    <row r="28" spans="1:12" ht="16.8" thickTop="1">
      <c r="C28" s="4" t="s">
        <v>412</v>
      </c>
    </row>
    <row r="30" spans="1:12">
      <c r="A30" s="4" t="s">
        <v>118</v>
      </c>
      <c r="B30" s="4" t="s">
        <v>48</v>
      </c>
      <c r="D30" s="448" t="s">
        <v>427</v>
      </c>
      <c r="E30" s="449"/>
      <c r="F30" s="449"/>
      <c r="G30" s="449"/>
      <c r="H30" s="449"/>
      <c r="I30" s="449"/>
      <c r="J30" s="449"/>
      <c r="K30" s="450"/>
    </row>
    <row r="32" spans="1:12">
      <c r="A32" s="4" t="s">
        <v>49</v>
      </c>
      <c r="C32" s="4" t="s">
        <v>50</v>
      </c>
      <c r="D32" s="4" t="s">
        <v>51</v>
      </c>
      <c r="E32" s="4" t="s">
        <v>52</v>
      </c>
      <c r="F32" s="4" t="s">
        <v>53</v>
      </c>
      <c r="G32" s="4" t="s">
        <v>54</v>
      </c>
      <c r="H32" s="4" t="s">
        <v>55</v>
      </c>
      <c r="I32" s="4" t="s">
        <v>56</v>
      </c>
      <c r="K32" s="4" t="s">
        <v>57</v>
      </c>
      <c r="L32" s="4">
        <v>320</v>
      </c>
    </row>
    <row r="33" spans="1:12">
      <c r="B33" s="12" t="s">
        <v>58</v>
      </c>
      <c r="C33" s="119">
        <f>-L32</f>
        <v>-320</v>
      </c>
      <c r="D33" s="43"/>
      <c r="E33" s="43"/>
      <c r="F33" s="44"/>
      <c r="G33" s="44"/>
      <c r="H33" s="44"/>
      <c r="I33" s="44"/>
      <c r="K33" s="4" t="s">
        <v>59</v>
      </c>
      <c r="L33" s="4">
        <f>+L32</f>
        <v>320</v>
      </c>
    </row>
    <row r="34" spans="1:12">
      <c r="B34" s="12"/>
      <c r="C34" s="45"/>
      <c r="D34" s="46"/>
      <c r="E34" s="46"/>
      <c r="F34" s="46"/>
      <c r="G34" s="46"/>
      <c r="H34" s="46"/>
      <c r="I34" s="46"/>
      <c r="K34" s="4" t="s">
        <v>60</v>
      </c>
      <c r="L34" s="4">
        <v>0</v>
      </c>
    </row>
    <row r="35" spans="1:12">
      <c r="B35" s="4" t="s">
        <v>61</v>
      </c>
      <c r="I35" s="34">
        <f>+L32-L34*6</f>
        <v>320</v>
      </c>
    </row>
    <row r="36" spans="1:12">
      <c r="B36" s="4" t="s">
        <v>73</v>
      </c>
      <c r="C36" s="34">
        <f>+SUM(D36:I36)</f>
        <v>225.6</v>
      </c>
      <c r="I36" s="34">
        <f>+I35*I$61</f>
        <v>225.6</v>
      </c>
    </row>
    <row r="37" spans="1:12">
      <c r="B37" s="4" t="s">
        <v>415</v>
      </c>
      <c r="C37" s="4">
        <f>+SUM(C33:C36)</f>
        <v>-94.4</v>
      </c>
    </row>
    <row r="39" spans="1:12">
      <c r="A39" s="4" t="s">
        <v>62</v>
      </c>
      <c r="D39" s="4" t="s">
        <v>63</v>
      </c>
      <c r="E39" s="4" t="s">
        <v>52</v>
      </c>
      <c r="F39" s="4" t="s">
        <v>53</v>
      </c>
      <c r="G39" s="4" t="s">
        <v>64</v>
      </c>
      <c r="H39" s="4" t="s">
        <v>65</v>
      </c>
      <c r="I39" s="4" t="s">
        <v>66</v>
      </c>
      <c r="K39" s="4" t="s">
        <v>57</v>
      </c>
      <c r="L39" s="4">
        <v>420</v>
      </c>
    </row>
    <row r="40" spans="1:12">
      <c r="B40" s="12" t="s">
        <v>58</v>
      </c>
      <c r="C40" s="4" t="s">
        <v>67</v>
      </c>
      <c r="D40" s="43">
        <f>-L39</f>
        <v>-420</v>
      </c>
      <c r="E40" s="43"/>
      <c r="F40" s="44"/>
      <c r="G40" s="44"/>
      <c r="H40" s="44"/>
      <c r="I40" s="44"/>
      <c r="K40" s="4" t="s">
        <v>59</v>
      </c>
      <c r="L40" s="4">
        <v>0</v>
      </c>
    </row>
    <row r="41" spans="1:12">
      <c r="B41" s="12"/>
      <c r="C41" s="45"/>
      <c r="D41" s="46"/>
      <c r="E41" s="46"/>
      <c r="F41" s="46"/>
      <c r="G41" s="46"/>
      <c r="H41" s="46"/>
      <c r="I41" s="46"/>
      <c r="K41" s="4" t="s">
        <v>60</v>
      </c>
      <c r="L41" s="4">
        <f>+L39/30</f>
        <v>14</v>
      </c>
    </row>
    <row r="42" spans="1:12">
      <c r="B42" s="4" t="s">
        <v>61</v>
      </c>
      <c r="I42" s="4">
        <f>+L39-L41*5</f>
        <v>350</v>
      </c>
    </row>
    <row r="44" spans="1:12">
      <c r="A44" s="4" t="s">
        <v>68</v>
      </c>
      <c r="C44" s="4" t="s">
        <v>67</v>
      </c>
      <c r="D44" s="4" t="s">
        <v>69</v>
      </c>
      <c r="E44" s="4" t="s">
        <v>52</v>
      </c>
      <c r="F44" s="4" t="s">
        <v>53</v>
      </c>
      <c r="G44" s="4" t="s">
        <v>70</v>
      </c>
      <c r="H44" s="4" t="s">
        <v>65</v>
      </c>
      <c r="I44" s="4" t="s">
        <v>71</v>
      </c>
      <c r="K44" s="4" t="s">
        <v>57</v>
      </c>
      <c r="L44" s="4">
        <v>50</v>
      </c>
    </row>
    <row r="45" spans="1:12">
      <c r="B45" s="12" t="s">
        <v>58</v>
      </c>
      <c r="C45" s="47"/>
      <c r="D45" s="43">
        <f>-L44</f>
        <v>-50</v>
      </c>
      <c r="E45" s="43"/>
      <c r="F45" s="44"/>
      <c r="G45" s="44"/>
      <c r="H45" s="44"/>
      <c r="I45" s="44"/>
      <c r="K45" s="4" t="s">
        <v>59</v>
      </c>
      <c r="L45" s="4">
        <v>0</v>
      </c>
    </row>
    <row r="46" spans="1:12">
      <c r="B46" s="12"/>
      <c r="C46" s="45"/>
      <c r="D46" s="46"/>
      <c r="E46" s="46"/>
      <c r="F46" s="46"/>
      <c r="G46" s="46"/>
      <c r="H46" s="46"/>
      <c r="I46" s="46"/>
      <c r="K46" s="4" t="s">
        <v>60</v>
      </c>
      <c r="L46" s="4">
        <f>+L44/10</f>
        <v>5</v>
      </c>
    </row>
    <row r="47" spans="1:12">
      <c r="B47" s="4" t="s">
        <v>61</v>
      </c>
      <c r="I47" s="4">
        <f>+L44-L46*5</f>
        <v>25</v>
      </c>
    </row>
    <row r="49" spans="1:10">
      <c r="A49" s="4" t="s">
        <v>72</v>
      </c>
    </row>
    <row r="50" spans="1:10">
      <c r="C50" s="4" t="s">
        <v>67</v>
      </c>
      <c r="D50" s="4" t="s">
        <v>69</v>
      </c>
      <c r="E50" s="4" t="s">
        <v>52</v>
      </c>
      <c r="F50" s="4" t="s">
        <v>53</v>
      </c>
      <c r="G50" s="4" t="s">
        <v>70</v>
      </c>
      <c r="H50" s="4" t="s">
        <v>65</v>
      </c>
      <c r="I50" s="4" t="s">
        <v>71</v>
      </c>
    </row>
    <row r="51" spans="1:10">
      <c r="B51" s="12" t="s">
        <v>58</v>
      </c>
      <c r="C51" s="47"/>
      <c r="D51" s="120">
        <f>+SUM(D40,D45)</f>
        <v>-470</v>
      </c>
      <c r="E51" s="43"/>
      <c r="F51" s="44"/>
      <c r="G51" s="44"/>
      <c r="H51" s="44"/>
      <c r="I51" s="44"/>
    </row>
    <row r="52" spans="1:10">
      <c r="B52" s="12"/>
      <c r="C52" s="45"/>
      <c r="D52" s="46"/>
      <c r="E52" s="46"/>
      <c r="F52" s="46"/>
      <c r="G52" s="46"/>
      <c r="H52" s="46"/>
      <c r="I52" s="46"/>
    </row>
    <row r="53" spans="1:10">
      <c r="B53" s="4" t="s">
        <v>61</v>
      </c>
      <c r="I53" s="34">
        <f>+SUM(I42,I47)</f>
        <v>375</v>
      </c>
    </row>
    <row r="54" spans="1:10">
      <c r="B54" s="4" t="s">
        <v>73</v>
      </c>
      <c r="D54" s="34">
        <f>+D51*D61</f>
        <v>-443.39800000000002</v>
      </c>
      <c r="I54" s="34">
        <f>+I53*I61</f>
        <v>264.375</v>
      </c>
      <c r="J54" s="4" t="s">
        <v>413</v>
      </c>
    </row>
    <row r="55" spans="1:10" s="12" customFormat="1">
      <c r="B55" s="12" t="s">
        <v>416</v>
      </c>
      <c r="C55" s="12">
        <f>+SUM(D54:I54)</f>
        <v>-179.02300000000002</v>
      </c>
    </row>
    <row r="56" spans="1:10">
      <c r="B56" s="4" t="s">
        <v>417</v>
      </c>
      <c r="C56" s="4">
        <f>+C58-C55-C37</f>
        <v>273.423</v>
      </c>
      <c r="E56" s="137">
        <f>+C56/E62</f>
        <v>68.802969300452943</v>
      </c>
      <c r="F56" s="138" t="s">
        <v>421</v>
      </c>
      <c r="G56" s="138" t="s">
        <v>420</v>
      </c>
      <c r="H56" s="138" t="s">
        <v>420</v>
      </c>
      <c r="I56" s="139" t="s">
        <v>420</v>
      </c>
      <c r="J56" s="4" t="s">
        <v>419</v>
      </c>
    </row>
    <row r="57" spans="1:10">
      <c r="E57" s="140" t="s">
        <v>423</v>
      </c>
      <c r="F57" s="49"/>
      <c r="G57" s="49"/>
      <c r="H57" s="49"/>
      <c r="I57" s="49"/>
      <c r="J57" s="4" t="s">
        <v>424</v>
      </c>
    </row>
    <row r="58" spans="1:10">
      <c r="B58" s="50" t="s">
        <v>418</v>
      </c>
      <c r="C58" s="4">
        <v>0</v>
      </c>
      <c r="J58" s="4" t="s">
        <v>426</v>
      </c>
    </row>
    <row r="61" spans="1:10">
      <c r="B61" s="4" t="s">
        <v>422</v>
      </c>
      <c r="C61" s="4">
        <v>1</v>
      </c>
      <c r="D61" s="51">
        <v>0.94340000000000002</v>
      </c>
      <c r="E61" s="51">
        <v>0.89</v>
      </c>
      <c r="F61" s="51">
        <v>0.83960000000000001</v>
      </c>
      <c r="G61" s="51">
        <v>0.79210000000000003</v>
      </c>
      <c r="H61" s="51">
        <v>0.74729999999999996</v>
      </c>
      <c r="I61" s="51">
        <v>0.70499999999999996</v>
      </c>
    </row>
    <row r="62" spans="1:10">
      <c r="E62" s="445">
        <f>+SUM(E61:I61)</f>
        <v>3.9740000000000002</v>
      </c>
      <c r="F62" s="446"/>
      <c r="G62" s="446"/>
      <c r="H62" s="446"/>
      <c r="I62" s="447"/>
    </row>
    <row r="63" spans="1:10">
      <c r="E63" s="4" t="s">
        <v>425</v>
      </c>
    </row>
    <row r="67" spans="1:21" ht="18" customHeight="1">
      <c r="A67" s="13" t="s">
        <v>3</v>
      </c>
      <c r="B67" s="136" t="s">
        <v>402</v>
      </c>
      <c r="C67" s="14"/>
      <c r="D67" s="14"/>
      <c r="E67" s="14"/>
      <c r="F67" s="14"/>
      <c r="G67" s="14"/>
      <c r="H67" s="14"/>
      <c r="I67" s="14"/>
      <c r="J67" s="14"/>
      <c r="K67" s="14"/>
      <c r="L67" s="14"/>
      <c r="M67" s="14"/>
      <c r="N67" s="14"/>
      <c r="O67" s="14"/>
      <c r="P67" s="14"/>
      <c r="Q67" s="14"/>
      <c r="R67" s="14"/>
      <c r="S67" s="14"/>
      <c r="T67" s="14"/>
      <c r="U67" s="15"/>
    </row>
    <row r="68" spans="1:21">
      <c r="A68" s="16" t="s">
        <v>97</v>
      </c>
      <c r="B68" s="17"/>
      <c r="C68" s="17"/>
      <c r="D68" s="17"/>
      <c r="E68" s="17"/>
      <c r="F68" s="17"/>
      <c r="G68" s="17"/>
      <c r="H68" s="17"/>
      <c r="I68" s="17"/>
      <c r="J68" s="17"/>
      <c r="K68" s="17"/>
      <c r="L68" s="17"/>
      <c r="M68" s="17"/>
      <c r="N68" s="17"/>
      <c r="O68" s="17"/>
      <c r="P68" s="17"/>
      <c r="Q68" s="17"/>
      <c r="R68" s="17"/>
      <c r="S68" s="17"/>
      <c r="T68" s="17"/>
      <c r="U68" s="18"/>
    </row>
    <row r="69" spans="1:21">
      <c r="A69" s="19" t="s">
        <v>96</v>
      </c>
      <c r="B69" s="20"/>
      <c r="C69" s="20"/>
      <c r="D69" s="20"/>
      <c r="E69" s="20"/>
      <c r="F69" s="20"/>
      <c r="G69" s="20"/>
      <c r="H69" s="20"/>
      <c r="I69" s="20"/>
      <c r="J69" s="20"/>
      <c r="K69" s="20"/>
      <c r="L69" s="20"/>
      <c r="M69" s="20"/>
      <c r="N69" s="20"/>
      <c r="O69" s="20"/>
      <c r="P69" s="20"/>
      <c r="Q69" s="20"/>
      <c r="R69" s="20"/>
      <c r="S69" s="20"/>
      <c r="T69" s="20"/>
      <c r="U69" s="21"/>
    </row>
    <row r="70" spans="1:21" s="12" customFormat="1" ht="17.25" customHeight="1">
      <c r="A70" s="22"/>
      <c r="B70" s="22"/>
      <c r="C70" s="22"/>
      <c r="D70" s="22"/>
      <c r="E70" s="22"/>
      <c r="F70" s="22"/>
      <c r="G70" s="22"/>
      <c r="H70" s="22"/>
      <c r="I70" s="22"/>
      <c r="J70" s="22"/>
      <c r="K70" s="22"/>
      <c r="L70" s="22"/>
      <c r="M70" s="22"/>
      <c r="N70" s="22"/>
      <c r="O70" s="22"/>
      <c r="P70" s="22"/>
      <c r="Q70" s="22"/>
      <c r="R70" s="22"/>
      <c r="S70" s="22"/>
      <c r="T70" s="22"/>
      <c r="U70" s="22"/>
    </row>
    <row r="71" spans="1:21">
      <c r="A71" s="4" t="s">
        <v>74</v>
      </c>
    </row>
    <row r="72" spans="1:21">
      <c r="B72" s="4" t="s">
        <v>75</v>
      </c>
    </row>
    <row r="73" spans="1:21">
      <c r="D73" s="4" t="s">
        <v>76</v>
      </c>
      <c r="G73" s="4" t="s">
        <v>77</v>
      </c>
      <c r="K73" s="4" t="s">
        <v>78</v>
      </c>
    </row>
    <row r="74" spans="1:21">
      <c r="B74" s="4" t="s">
        <v>79</v>
      </c>
      <c r="E74" s="4">
        <v>1120</v>
      </c>
      <c r="H74" s="4">
        <f>+E74</f>
        <v>1120</v>
      </c>
      <c r="K74" s="4" t="s">
        <v>80</v>
      </c>
      <c r="L74" s="4">
        <v>20</v>
      </c>
    </row>
    <row r="75" spans="1:21">
      <c r="B75" s="4" t="s">
        <v>81</v>
      </c>
      <c r="K75" s="4" t="s">
        <v>59</v>
      </c>
      <c r="L75" s="4">
        <v>0</v>
      </c>
    </row>
    <row r="76" spans="1:21">
      <c r="B76" s="4" t="s">
        <v>82</v>
      </c>
      <c r="D76" s="52">
        <f>+E74*D89</f>
        <v>20.16</v>
      </c>
      <c r="G76" s="53">
        <f>+D76*0.666666666666667</f>
        <v>13.440000000000007</v>
      </c>
      <c r="H76" s="53"/>
      <c r="K76" s="4" t="s">
        <v>60</v>
      </c>
      <c r="L76" s="4">
        <f>+L74/5</f>
        <v>4</v>
      </c>
    </row>
    <row r="77" spans="1:21">
      <c r="B77" s="4" t="s">
        <v>83</v>
      </c>
      <c r="D77" s="54">
        <f>+E77-D76</f>
        <v>539.84</v>
      </c>
      <c r="E77" s="33">
        <v>560</v>
      </c>
      <c r="G77" s="55">
        <f>+D77</f>
        <v>539.84</v>
      </c>
      <c r="H77" s="55">
        <f>+SUM(G76:G77)</f>
        <v>553.28000000000009</v>
      </c>
    </row>
    <row r="78" spans="1:21">
      <c r="B78" s="4" t="s">
        <v>84</v>
      </c>
      <c r="E78" s="4">
        <f>+E74-E77</f>
        <v>560</v>
      </c>
      <c r="F78" s="56">
        <f>+E78/E74</f>
        <v>0.5</v>
      </c>
      <c r="G78" s="53"/>
      <c r="H78" s="53">
        <f>+H74-H77</f>
        <v>566.71999999999991</v>
      </c>
      <c r="I78" s="56">
        <f>+H78/H74</f>
        <v>0.50599999999999989</v>
      </c>
    </row>
    <row r="79" spans="1:21">
      <c r="B79" s="4" t="s">
        <v>85</v>
      </c>
    </row>
    <row r="80" spans="1:21">
      <c r="B80" s="4" t="s">
        <v>86</v>
      </c>
      <c r="D80" s="4">
        <v>12</v>
      </c>
      <c r="G80" s="4">
        <f>+D80/3</f>
        <v>4</v>
      </c>
    </row>
    <row r="81" spans="2:9">
      <c r="B81" s="4" t="s">
        <v>87</v>
      </c>
      <c r="D81" s="57">
        <f>430-D80</f>
        <v>418</v>
      </c>
      <c r="E81" s="57">
        <f>+SUM(D80:D81)</f>
        <v>430</v>
      </c>
      <c r="F81" s="57"/>
      <c r="G81" s="57">
        <f>+D81</f>
        <v>418</v>
      </c>
      <c r="H81" s="57"/>
    </row>
    <row r="82" spans="2:9">
      <c r="B82" s="4" t="s">
        <v>88</v>
      </c>
      <c r="D82" s="33"/>
      <c r="E82" s="33"/>
      <c r="F82" s="57"/>
      <c r="G82" s="33">
        <f>+L76</f>
        <v>4</v>
      </c>
      <c r="H82" s="33">
        <f>+SUM(G80:G82)</f>
        <v>426</v>
      </c>
    </row>
    <row r="83" spans="2:9">
      <c r="E83" s="4">
        <f>+E78-E81</f>
        <v>130</v>
      </c>
      <c r="H83" s="4">
        <f>+H78-H81</f>
        <v>566.71999999999991</v>
      </c>
    </row>
    <row r="84" spans="2:9" ht="16.8" thickBot="1"/>
    <row r="85" spans="2:9" ht="16.8" thickBot="1">
      <c r="B85" s="4" t="s">
        <v>89</v>
      </c>
      <c r="E85" s="58">
        <f>+E81/F78</f>
        <v>860</v>
      </c>
      <c r="F85" s="4" t="s">
        <v>90</v>
      </c>
      <c r="H85" s="59">
        <f>+H82/I78</f>
        <v>841.89723320158123</v>
      </c>
    </row>
    <row r="86" spans="2:9" ht="16.8" thickBot="1">
      <c r="H86" s="58">
        <f>+H85-E85</f>
        <v>-18.10276679841877</v>
      </c>
      <c r="I86" s="4" t="s">
        <v>91</v>
      </c>
    </row>
    <row r="88" spans="2:9" ht="16.8" thickBot="1">
      <c r="B88" s="4" t="s">
        <v>574</v>
      </c>
      <c r="G88" s="4" t="s">
        <v>92</v>
      </c>
    </row>
    <row r="89" spans="2:9" ht="16.8" thickBot="1">
      <c r="B89" s="4" t="s">
        <v>575</v>
      </c>
      <c r="D89" s="122">
        <v>1.7999999999999999E-2</v>
      </c>
      <c r="H89" s="59">
        <f>+E81/I78</f>
        <v>849.80237154150211</v>
      </c>
    </row>
    <row r="90" spans="2:9" ht="16.8" thickBot="1">
      <c r="H90" s="58">
        <f>+H89-E85</f>
        <v>-10.197628458497888</v>
      </c>
      <c r="I90" s="4" t="s">
        <v>93</v>
      </c>
    </row>
  </sheetData>
  <mergeCells count="2">
    <mergeCell ref="E62:I62"/>
    <mergeCell ref="D30:K30"/>
  </mergeCells>
  <phoneticPr fontId="3"/>
  <pageMargins left="0.25" right="0.25"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94"/>
  <sheetViews>
    <sheetView zoomScale="85" zoomScaleNormal="85" workbookViewId="0">
      <selection activeCell="J42" sqref="J42"/>
    </sheetView>
  </sheetViews>
  <sheetFormatPr defaultColWidth="12" defaultRowHeight="16.2"/>
  <cols>
    <col min="1" max="1" width="12.109375" style="4" customWidth="1"/>
    <col min="2" max="5" width="13.109375" style="4" customWidth="1"/>
    <col min="6" max="8" width="12.6640625" style="4" customWidth="1"/>
    <col min="9" max="12" width="13.109375" style="4" customWidth="1"/>
    <col min="13" max="13" width="12" style="4"/>
    <col min="14" max="14" width="11.88671875" style="4" customWidth="1"/>
    <col min="15" max="16384" width="12" style="4"/>
  </cols>
  <sheetData>
    <row r="1" spans="1:20">
      <c r="A1" s="1" t="s">
        <v>0</v>
      </c>
      <c r="B1" s="2"/>
      <c r="C1" s="2"/>
      <c r="D1" s="2"/>
      <c r="E1" s="2"/>
      <c r="F1" s="2"/>
      <c r="G1" s="2"/>
      <c r="H1" s="2"/>
      <c r="I1" s="2"/>
      <c r="J1" s="2"/>
      <c r="K1" s="2"/>
      <c r="L1" s="2"/>
      <c r="M1" s="2"/>
      <c r="N1" s="2"/>
      <c r="O1" s="2"/>
      <c r="P1" s="2"/>
      <c r="Q1" s="2"/>
      <c r="R1" s="2"/>
      <c r="S1" s="3"/>
    </row>
    <row r="2" spans="1:20">
      <c r="A2" s="5" t="s">
        <v>99</v>
      </c>
      <c r="B2" s="6"/>
      <c r="C2" s="6"/>
      <c r="D2" s="6"/>
      <c r="E2" s="6"/>
      <c r="F2" s="6"/>
      <c r="G2" s="6"/>
      <c r="H2" s="6"/>
      <c r="I2" s="6"/>
      <c r="J2" s="6"/>
      <c r="K2" s="6"/>
      <c r="L2" s="6"/>
      <c r="M2" s="6"/>
      <c r="N2" s="6"/>
      <c r="O2" s="6"/>
      <c r="P2" s="6"/>
      <c r="Q2" s="6"/>
      <c r="R2" s="6"/>
      <c r="S2" s="7"/>
    </row>
    <row r="3" spans="1:20">
      <c r="A3" s="8"/>
      <c r="B3" s="9"/>
      <c r="C3" s="60" t="s">
        <v>98</v>
      </c>
      <c r="D3" s="9"/>
      <c r="E3" s="9"/>
      <c r="F3" s="9"/>
      <c r="G3" s="9"/>
      <c r="H3" s="9"/>
      <c r="I3" s="9"/>
      <c r="J3" s="9"/>
      <c r="K3" s="9"/>
      <c r="L3" s="9"/>
      <c r="M3" s="9"/>
      <c r="N3" s="9"/>
      <c r="O3" s="9"/>
      <c r="P3" s="9"/>
      <c r="Q3" s="9"/>
      <c r="R3" s="9"/>
      <c r="S3" s="10"/>
    </row>
    <row r="4" spans="1:20" s="12" customFormat="1">
      <c r="A4" s="11"/>
      <c r="B4" s="11"/>
      <c r="C4" s="11"/>
      <c r="D4" s="11"/>
      <c r="E4" s="11"/>
      <c r="F4" s="11"/>
      <c r="G4" s="11"/>
      <c r="H4" s="11"/>
      <c r="I4" s="11"/>
      <c r="J4" s="11"/>
      <c r="K4" s="11"/>
      <c r="L4" s="11"/>
      <c r="M4" s="11"/>
      <c r="N4" s="11"/>
      <c r="O4" s="11"/>
      <c r="P4" s="11"/>
      <c r="Q4" s="11"/>
      <c r="R4" s="11"/>
      <c r="S4" s="11"/>
    </row>
    <row r="5" spans="1:20" ht="18" customHeight="1">
      <c r="A5" s="13" t="s">
        <v>3</v>
      </c>
      <c r="B5" s="14"/>
      <c r="C5" s="14"/>
      <c r="D5" s="14"/>
      <c r="E5" s="14"/>
      <c r="F5" s="14"/>
      <c r="G5" s="14"/>
      <c r="H5" s="14"/>
      <c r="I5" s="14"/>
      <c r="J5" s="14"/>
      <c r="K5" s="14"/>
      <c r="L5" s="14"/>
      <c r="M5" s="14"/>
      <c r="N5" s="14"/>
      <c r="O5" s="14"/>
      <c r="P5" s="14"/>
      <c r="Q5" s="14"/>
      <c r="R5" s="14"/>
      <c r="S5" s="14"/>
      <c r="T5" s="15"/>
    </row>
    <row r="6" spans="1:20">
      <c r="A6" s="16" t="s">
        <v>144</v>
      </c>
      <c r="B6" s="17"/>
      <c r="C6" s="17"/>
      <c r="D6" s="17"/>
      <c r="E6" s="17"/>
      <c r="F6" s="17"/>
      <c r="G6" s="17"/>
      <c r="H6" s="17"/>
      <c r="I6" s="17"/>
      <c r="J6" s="17"/>
      <c r="K6" s="17"/>
      <c r="L6" s="17"/>
      <c r="M6" s="17"/>
      <c r="N6" s="17"/>
      <c r="O6" s="17"/>
      <c r="P6" s="17"/>
      <c r="Q6" s="17"/>
      <c r="R6" s="17"/>
      <c r="S6" s="17"/>
      <c r="T6" s="18"/>
    </row>
    <row r="7" spans="1:20">
      <c r="A7" s="19" t="s">
        <v>145</v>
      </c>
      <c r="B7" s="20"/>
      <c r="C7" s="20"/>
      <c r="D7" s="20"/>
      <c r="E7" s="20"/>
      <c r="F7" s="20"/>
      <c r="G7" s="20"/>
      <c r="H7" s="20"/>
      <c r="I7" s="20"/>
      <c r="J7" s="20"/>
      <c r="K7" s="20"/>
      <c r="L7" s="20"/>
      <c r="M7" s="20"/>
      <c r="N7" s="20"/>
      <c r="O7" s="20"/>
      <c r="P7" s="20"/>
      <c r="Q7" s="20"/>
      <c r="R7" s="20"/>
      <c r="S7" s="20"/>
      <c r="T7" s="21"/>
    </row>
    <row r="8" spans="1:20" s="12" customFormat="1" ht="17.25" customHeight="1">
      <c r="A8" s="22"/>
      <c r="B8" s="22"/>
      <c r="C8" s="22"/>
      <c r="D8" s="22"/>
      <c r="E8" s="22"/>
      <c r="F8" s="22"/>
      <c r="G8" s="22"/>
      <c r="H8" s="22"/>
      <c r="I8" s="22"/>
      <c r="J8" s="22"/>
      <c r="K8" s="22"/>
      <c r="L8" s="22"/>
      <c r="M8" s="22"/>
      <c r="N8" s="22"/>
      <c r="O8" s="22"/>
      <c r="P8" s="22"/>
      <c r="Q8" s="22"/>
      <c r="R8" s="22"/>
      <c r="S8" s="22"/>
      <c r="T8" s="22"/>
    </row>
    <row r="9" spans="1:20" s="12" customFormat="1" ht="17.25" customHeight="1">
      <c r="A9" s="4" t="s">
        <v>100</v>
      </c>
      <c r="B9" s="22"/>
      <c r="C9" s="22"/>
      <c r="D9" s="22"/>
      <c r="E9" s="22"/>
      <c r="F9" s="22"/>
      <c r="G9" s="22"/>
      <c r="H9" s="22"/>
      <c r="I9" s="22"/>
      <c r="J9" s="22"/>
      <c r="K9" s="22"/>
      <c r="L9" s="22"/>
      <c r="M9" s="22"/>
      <c r="N9" s="22"/>
      <c r="O9" s="22"/>
      <c r="P9" s="22"/>
      <c r="Q9" s="22"/>
      <c r="R9" s="22"/>
      <c r="S9" s="22"/>
      <c r="T9" s="22"/>
    </row>
    <row r="10" spans="1:20">
      <c r="B10" s="4" t="s">
        <v>112</v>
      </c>
      <c r="F10" s="4" t="s">
        <v>111</v>
      </c>
      <c r="H10" s="4" t="s">
        <v>117</v>
      </c>
      <c r="K10" s="4" t="s">
        <v>123</v>
      </c>
    </row>
    <row r="11" spans="1:20">
      <c r="B11" s="4" t="s">
        <v>113</v>
      </c>
      <c r="C11" s="4" t="s">
        <v>114</v>
      </c>
      <c r="D11" s="4" t="s">
        <v>116</v>
      </c>
      <c r="F11" s="4" t="s">
        <v>113</v>
      </c>
      <c r="G11" s="4" t="s">
        <v>114</v>
      </c>
      <c r="H11" s="4" t="s">
        <v>115</v>
      </c>
    </row>
    <row r="12" spans="1:20">
      <c r="A12" s="4" t="s">
        <v>79</v>
      </c>
      <c r="D12" s="4">
        <v>2150</v>
      </c>
      <c r="H12" s="32">
        <f>+D12*0.9</f>
        <v>1935</v>
      </c>
      <c r="K12" s="4" t="s">
        <v>79</v>
      </c>
      <c r="M12" s="4">
        <f>+H12</f>
        <v>1935</v>
      </c>
    </row>
    <row r="13" spans="1:20">
      <c r="A13" s="4" t="s">
        <v>101</v>
      </c>
      <c r="B13" s="33">
        <f>+D13-C13</f>
        <v>750</v>
      </c>
      <c r="C13" s="33">
        <v>1020</v>
      </c>
      <c r="D13" s="33">
        <v>1770</v>
      </c>
      <c r="F13" s="33">
        <f>+H12*I13</f>
        <v>675</v>
      </c>
      <c r="G13" s="33">
        <f>+C13</f>
        <v>1020</v>
      </c>
      <c r="H13" s="61">
        <f>+SUM(F13:G13)</f>
        <v>1695</v>
      </c>
      <c r="I13" s="56">
        <f>+B13/D12</f>
        <v>0.34883720930232559</v>
      </c>
      <c r="K13" s="4" t="s">
        <v>124</v>
      </c>
      <c r="L13" s="4">
        <f>+F13</f>
        <v>675</v>
      </c>
    </row>
    <row r="14" spans="1:20">
      <c r="A14" s="4" t="s">
        <v>102</v>
      </c>
      <c r="H14" s="32">
        <f>+H12-H13</f>
        <v>240</v>
      </c>
      <c r="I14" s="56"/>
      <c r="K14" s="4" t="s">
        <v>125</v>
      </c>
      <c r="L14" s="33">
        <f>+F15</f>
        <v>180</v>
      </c>
      <c r="M14" s="33">
        <f>+SUM(L13:L14)</f>
        <v>855</v>
      </c>
      <c r="N14" s="4" t="s">
        <v>576</v>
      </c>
    </row>
    <row r="15" spans="1:20">
      <c r="A15" s="4" t="s">
        <v>103</v>
      </c>
      <c r="B15" s="33">
        <f>+D15-C15</f>
        <v>200</v>
      </c>
      <c r="C15" s="33">
        <v>120</v>
      </c>
      <c r="D15" s="33">
        <v>320</v>
      </c>
      <c r="F15" s="33">
        <f>+H12*I15</f>
        <v>180</v>
      </c>
      <c r="G15" s="33">
        <f>+C15</f>
        <v>120</v>
      </c>
      <c r="H15" s="61">
        <f>+SUM(F15:G15)</f>
        <v>300</v>
      </c>
      <c r="I15" s="56">
        <f>+B15/D12</f>
        <v>9.3023255813953487E-2</v>
      </c>
      <c r="K15" s="4" t="s">
        <v>84</v>
      </c>
      <c r="M15" s="4">
        <f>+M12-M14</f>
        <v>1080</v>
      </c>
      <c r="N15" s="122">
        <f>+M15/M12</f>
        <v>0.55813953488372092</v>
      </c>
    </row>
    <row r="16" spans="1:20">
      <c r="A16" s="4" t="s">
        <v>104</v>
      </c>
      <c r="H16" s="32">
        <f>+H14-H15</f>
        <v>-60</v>
      </c>
      <c r="K16" s="4" t="s">
        <v>126</v>
      </c>
      <c r="L16" s="4">
        <f>+G13</f>
        <v>1020</v>
      </c>
    </row>
    <row r="17" spans="1:13">
      <c r="A17" s="4" t="s">
        <v>16</v>
      </c>
      <c r="H17" s="32">
        <v>13</v>
      </c>
      <c r="K17" s="4" t="s">
        <v>127</v>
      </c>
      <c r="L17" s="33">
        <f>+G15</f>
        <v>120</v>
      </c>
      <c r="M17" s="33">
        <f>+SUM(L16:L17)</f>
        <v>1140</v>
      </c>
    </row>
    <row r="18" spans="1:13">
      <c r="A18" s="4" t="s">
        <v>19</v>
      </c>
      <c r="H18" s="61">
        <v>24</v>
      </c>
      <c r="K18" s="4" t="s">
        <v>104</v>
      </c>
      <c r="M18" s="4">
        <f>+M15-M17</f>
        <v>-60</v>
      </c>
    </row>
    <row r="19" spans="1:13">
      <c r="A19" s="4" t="s">
        <v>105</v>
      </c>
      <c r="H19" s="32">
        <f>+H16+H17-H18</f>
        <v>-71</v>
      </c>
      <c r="K19" s="4" t="s">
        <v>16</v>
      </c>
      <c r="L19" s="4">
        <f>+H17</f>
        <v>13</v>
      </c>
    </row>
    <row r="20" spans="1:13">
      <c r="A20" s="4" t="s">
        <v>106</v>
      </c>
      <c r="H20" s="32">
        <v>0</v>
      </c>
      <c r="K20" s="4" t="s">
        <v>19</v>
      </c>
      <c r="L20" s="33">
        <f>+H18</f>
        <v>24</v>
      </c>
      <c r="M20" s="33">
        <f>+L19-L20</f>
        <v>-11</v>
      </c>
    </row>
    <row r="21" spans="1:13">
      <c r="A21" s="4" t="s">
        <v>107</v>
      </c>
      <c r="H21" s="61">
        <v>0</v>
      </c>
      <c r="K21" s="4" t="s">
        <v>105</v>
      </c>
      <c r="M21" s="4">
        <f>+M18+M20</f>
        <v>-71</v>
      </c>
    </row>
    <row r="22" spans="1:13">
      <c r="A22" s="4" t="s">
        <v>108</v>
      </c>
      <c r="H22" s="32">
        <f>+H19+H20-H21</f>
        <v>-71</v>
      </c>
    </row>
    <row r="23" spans="1:13">
      <c r="A23" s="4" t="s">
        <v>109</v>
      </c>
      <c r="H23" s="32">
        <v>0</v>
      </c>
    </row>
    <row r="24" spans="1:13" ht="16.8" thickBot="1">
      <c r="A24" s="4" t="s">
        <v>110</v>
      </c>
      <c r="H24" s="62">
        <f>+H22-H23</f>
        <v>-71</v>
      </c>
    </row>
    <row r="25" spans="1:13" ht="16.8" thickTop="1"/>
    <row r="26" spans="1:13">
      <c r="A26" s="4" t="s">
        <v>118</v>
      </c>
    </row>
    <row r="27" spans="1:13">
      <c r="A27" s="4" t="s">
        <v>119</v>
      </c>
    </row>
    <row r="28" spans="1:13">
      <c r="A28" s="4" t="s">
        <v>120</v>
      </c>
    </row>
    <row r="29" spans="1:13">
      <c r="A29" s="4" t="s">
        <v>121</v>
      </c>
    </row>
    <row r="31" spans="1:13">
      <c r="A31" s="4" t="s">
        <v>122</v>
      </c>
    </row>
    <row r="32" spans="1:13">
      <c r="A32" s="63" t="s">
        <v>132</v>
      </c>
      <c r="B32" s="4" t="s">
        <v>129</v>
      </c>
      <c r="F32" s="32">
        <v>100</v>
      </c>
      <c r="H32" s="64" t="s">
        <v>141</v>
      </c>
    </row>
    <row r="33" spans="1:20">
      <c r="B33" s="4" t="s">
        <v>128</v>
      </c>
      <c r="F33" s="32">
        <f>+M17+F32+L20-L19</f>
        <v>1251</v>
      </c>
    </row>
    <row r="34" spans="1:20">
      <c r="B34" s="4" t="s">
        <v>130</v>
      </c>
      <c r="F34" s="224">
        <f>+M15/M12</f>
        <v>0.55813953488372092</v>
      </c>
    </row>
    <row r="35" spans="1:20">
      <c r="B35" s="4" t="s">
        <v>131</v>
      </c>
      <c r="F35" s="34">
        <f>+F33/F34</f>
        <v>2241.375</v>
      </c>
      <c r="H35" s="4" t="s">
        <v>406</v>
      </c>
    </row>
    <row r="37" spans="1:20">
      <c r="A37" s="63" t="s">
        <v>133</v>
      </c>
      <c r="B37" s="4" t="s">
        <v>134</v>
      </c>
    </row>
    <row r="38" spans="1:20">
      <c r="H38" s="64" t="s">
        <v>142</v>
      </c>
    </row>
    <row r="39" spans="1:20">
      <c r="D39" s="4" t="s">
        <v>135</v>
      </c>
      <c r="F39" s="4">
        <f>+M17</f>
        <v>1140</v>
      </c>
      <c r="H39" s="64" t="s">
        <v>143</v>
      </c>
    </row>
    <row r="40" spans="1:20">
      <c r="D40" s="4" t="s">
        <v>139</v>
      </c>
      <c r="F40" s="4">
        <f>+L20-L19</f>
        <v>11</v>
      </c>
      <c r="G40" s="4" t="s">
        <v>140</v>
      </c>
    </row>
    <row r="41" spans="1:20">
      <c r="D41" s="4" t="s">
        <v>136</v>
      </c>
      <c r="F41" s="4">
        <f>+M21</f>
        <v>-71</v>
      </c>
    </row>
    <row r="42" spans="1:20">
      <c r="D42" s="4" t="s">
        <v>129</v>
      </c>
      <c r="F42" s="4">
        <v>100</v>
      </c>
    </row>
    <row r="43" spans="1:20">
      <c r="D43" s="4" t="s">
        <v>137</v>
      </c>
      <c r="F43" s="32">
        <f>+F39-F42+F41+F40</f>
        <v>980</v>
      </c>
    </row>
    <row r="44" spans="1:20">
      <c r="D44" s="4" t="s">
        <v>138</v>
      </c>
      <c r="F44" s="34">
        <f>+F43/F34</f>
        <v>1755.8333333333333</v>
      </c>
      <c r="H44" s="4" t="s">
        <v>577</v>
      </c>
    </row>
    <row r="47" spans="1:20" ht="18" customHeight="1">
      <c r="A47" s="13" t="s">
        <v>146</v>
      </c>
      <c r="B47" s="14"/>
      <c r="C47" s="14"/>
      <c r="D47" s="14"/>
      <c r="E47" s="14"/>
      <c r="F47" s="14"/>
      <c r="G47" s="14"/>
      <c r="H47" s="14"/>
      <c r="I47" s="14"/>
      <c r="J47" s="14"/>
      <c r="K47" s="14"/>
      <c r="L47" s="14"/>
      <c r="M47" s="14"/>
      <c r="N47" s="14"/>
      <c r="O47" s="14"/>
      <c r="P47" s="14"/>
      <c r="Q47" s="14"/>
      <c r="R47" s="14"/>
      <c r="S47" s="14"/>
      <c r="T47" s="15"/>
    </row>
    <row r="48" spans="1:20">
      <c r="A48" s="16" t="s">
        <v>189</v>
      </c>
      <c r="B48" s="17"/>
      <c r="C48" s="17"/>
      <c r="D48" s="17"/>
      <c r="E48" s="17"/>
      <c r="F48" s="17"/>
      <c r="G48" s="17"/>
      <c r="H48" s="17"/>
      <c r="I48" s="17"/>
      <c r="J48" s="17"/>
      <c r="K48" s="17"/>
      <c r="L48" s="17"/>
      <c r="M48" s="17"/>
      <c r="N48" s="17"/>
      <c r="O48" s="17"/>
      <c r="P48" s="17"/>
      <c r="Q48" s="17"/>
      <c r="R48" s="17"/>
      <c r="S48" s="17"/>
      <c r="T48" s="18"/>
    </row>
    <row r="49" spans="1:20">
      <c r="A49" s="16" t="s">
        <v>190</v>
      </c>
      <c r="B49" s="17"/>
      <c r="C49" s="17"/>
      <c r="D49" s="17"/>
      <c r="E49" s="17"/>
      <c r="F49" s="17"/>
      <c r="G49" s="17"/>
      <c r="H49" s="17"/>
      <c r="I49" s="17"/>
      <c r="J49" s="17"/>
      <c r="K49" s="17"/>
      <c r="L49" s="17"/>
      <c r="M49" s="17"/>
      <c r="N49" s="17"/>
      <c r="O49" s="17"/>
      <c r="P49" s="17"/>
      <c r="Q49" s="17"/>
      <c r="R49" s="17"/>
      <c r="S49" s="17"/>
      <c r="T49" s="18"/>
    </row>
    <row r="50" spans="1:20">
      <c r="A50" s="19" t="s">
        <v>191</v>
      </c>
      <c r="B50" s="20"/>
      <c r="C50" s="20"/>
      <c r="D50" s="20"/>
      <c r="E50" s="20"/>
      <c r="F50" s="20"/>
      <c r="G50" s="20"/>
      <c r="H50" s="20"/>
      <c r="I50" s="20"/>
      <c r="J50" s="20"/>
      <c r="K50" s="20"/>
      <c r="L50" s="20"/>
      <c r="M50" s="20"/>
      <c r="N50" s="20"/>
      <c r="O50" s="20"/>
      <c r="P50" s="20"/>
      <c r="Q50" s="20"/>
      <c r="R50" s="20"/>
      <c r="S50" s="20"/>
      <c r="T50" s="21"/>
    </row>
    <row r="52" spans="1:20">
      <c r="B52" s="4" t="s">
        <v>147</v>
      </c>
    </row>
    <row r="54" spans="1:20">
      <c r="B54" s="4" t="s">
        <v>148</v>
      </c>
    </row>
    <row r="56" spans="1:20">
      <c r="C56" s="4" t="s">
        <v>154</v>
      </c>
      <c r="D56" s="4" t="s">
        <v>149</v>
      </c>
      <c r="E56" s="4" t="s">
        <v>150</v>
      </c>
      <c r="F56" s="4" t="s">
        <v>151</v>
      </c>
      <c r="I56" s="4" t="s">
        <v>155</v>
      </c>
    </row>
    <row r="57" spans="1:20">
      <c r="A57" s="33" t="s">
        <v>167</v>
      </c>
      <c r="B57" s="33" t="s">
        <v>152</v>
      </c>
      <c r="C57" s="33"/>
      <c r="D57" s="33">
        <v>100</v>
      </c>
      <c r="E57" s="33">
        <v>100</v>
      </c>
      <c r="F57" s="33">
        <v>100</v>
      </c>
      <c r="J57" s="4" t="s">
        <v>166</v>
      </c>
      <c r="K57" s="4" t="s">
        <v>156</v>
      </c>
    </row>
    <row r="58" spans="1:20">
      <c r="A58" s="4" t="s">
        <v>168</v>
      </c>
      <c r="B58" s="4" t="s">
        <v>153</v>
      </c>
      <c r="D58" s="4">
        <v>70</v>
      </c>
      <c r="E58" s="4">
        <v>70</v>
      </c>
      <c r="F58" s="4">
        <v>70</v>
      </c>
      <c r="I58" s="4" t="s">
        <v>157</v>
      </c>
      <c r="J58" s="4">
        <v>50</v>
      </c>
      <c r="K58" s="4">
        <v>80</v>
      </c>
    </row>
    <row r="59" spans="1:20">
      <c r="A59" s="57" t="s">
        <v>171</v>
      </c>
      <c r="B59" s="57" t="s">
        <v>170</v>
      </c>
      <c r="C59" s="57"/>
      <c r="D59" s="66">
        <v>10</v>
      </c>
      <c r="E59" s="66">
        <v>10</v>
      </c>
      <c r="F59" s="66">
        <v>10</v>
      </c>
      <c r="I59" s="4" t="s">
        <v>59</v>
      </c>
      <c r="J59" s="4">
        <v>0</v>
      </c>
      <c r="K59" s="4">
        <v>0</v>
      </c>
    </row>
    <row r="60" spans="1:20">
      <c r="A60" s="57" t="s">
        <v>168</v>
      </c>
      <c r="B60" s="57" t="s">
        <v>161</v>
      </c>
      <c r="C60" s="57"/>
      <c r="D60" s="57">
        <f>+(D57-D58-D59)*0.3</f>
        <v>6</v>
      </c>
      <c r="E60" s="57">
        <f>+(E57-E58-E59)*0.3</f>
        <v>6</v>
      </c>
      <c r="F60" s="57">
        <f>+(F57-F58-F59)*0.3</f>
        <v>6</v>
      </c>
      <c r="I60" s="4" t="s">
        <v>158</v>
      </c>
      <c r="J60" s="4">
        <v>5</v>
      </c>
      <c r="K60" s="4">
        <v>5</v>
      </c>
    </row>
    <row r="61" spans="1:20">
      <c r="A61" s="4" t="s">
        <v>168</v>
      </c>
      <c r="B61" s="4" t="s">
        <v>162</v>
      </c>
      <c r="C61" s="4">
        <v>20</v>
      </c>
      <c r="D61" s="65">
        <v>5</v>
      </c>
      <c r="E61" s="65"/>
      <c r="F61" s="65"/>
      <c r="I61" s="4" t="s">
        <v>159</v>
      </c>
      <c r="J61" s="4">
        <f>+J58/J60</f>
        <v>10</v>
      </c>
      <c r="K61" s="4">
        <f>+K58/K60</f>
        <v>16</v>
      </c>
    </row>
    <row r="62" spans="1:20">
      <c r="D62" s="65"/>
      <c r="E62" s="65"/>
      <c r="F62" s="65"/>
    </row>
    <row r="63" spans="1:20">
      <c r="B63" s="50" t="s">
        <v>160</v>
      </c>
      <c r="D63" s="4">
        <v>10</v>
      </c>
      <c r="E63" s="4">
        <v>10</v>
      </c>
      <c r="F63" s="4">
        <v>10</v>
      </c>
    </row>
    <row r="64" spans="1:20">
      <c r="A64" s="4" t="s">
        <v>168</v>
      </c>
      <c r="B64" s="4" t="s">
        <v>163</v>
      </c>
      <c r="D64" s="4">
        <f>+(D57-D58-D59-D63)*0.3</f>
        <v>3</v>
      </c>
      <c r="E64" s="4">
        <f>+(E57-E58-E59-E63)*0.3</f>
        <v>3</v>
      </c>
      <c r="F64" s="4">
        <f>+(F57-F58-F59-F63)*0.3</f>
        <v>3</v>
      </c>
    </row>
    <row r="65" spans="1:7">
      <c r="D65" s="65"/>
      <c r="E65" s="65"/>
      <c r="F65" s="65"/>
    </row>
    <row r="66" spans="1:7">
      <c r="A66" s="4" t="s">
        <v>169</v>
      </c>
      <c r="B66" s="4" t="s">
        <v>164</v>
      </c>
      <c r="C66" s="4">
        <f>-C61</f>
        <v>-20</v>
      </c>
      <c r="D66" s="67">
        <f>+D57-SUM(D58,D60:D61)</f>
        <v>19</v>
      </c>
      <c r="E66" s="67">
        <f t="shared" ref="E66:F66" si="0">+E57-SUM(E58,E60:E61)</f>
        <v>24</v>
      </c>
      <c r="F66" s="67">
        <f t="shared" si="0"/>
        <v>24</v>
      </c>
    </row>
    <row r="67" spans="1:7">
      <c r="B67" s="4" t="s">
        <v>165</v>
      </c>
      <c r="C67" s="4">
        <f>-C61</f>
        <v>-20</v>
      </c>
      <c r="D67" s="34">
        <f>+D57-SUM(D58,D61,D64)</f>
        <v>22</v>
      </c>
      <c r="E67" s="34">
        <f t="shared" ref="E67:F67" si="1">+E57-SUM(E58,E61,E64)</f>
        <v>27</v>
      </c>
      <c r="F67" s="34">
        <f t="shared" si="1"/>
        <v>27</v>
      </c>
    </row>
    <row r="69" spans="1:7">
      <c r="A69" s="4" t="s">
        <v>118</v>
      </c>
    </row>
    <row r="70" spans="1:7">
      <c r="B70" s="4" t="s">
        <v>172</v>
      </c>
    </row>
    <row r="72" spans="1:7">
      <c r="C72" s="4" t="s">
        <v>154</v>
      </c>
      <c r="D72" s="4" t="s">
        <v>149</v>
      </c>
      <c r="E72" s="4" t="s">
        <v>150</v>
      </c>
      <c r="F72" s="4" t="s">
        <v>151</v>
      </c>
    </row>
    <row r="73" spans="1:7">
      <c r="A73" s="33" t="s">
        <v>167</v>
      </c>
      <c r="B73" s="33" t="s">
        <v>152</v>
      </c>
      <c r="C73" s="33"/>
      <c r="D73" s="33">
        <v>100</v>
      </c>
      <c r="E73" s="33">
        <v>250</v>
      </c>
      <c r="F73" s="33">
        <v>250</v>
      </c>
    </row>
    <row r="74" spans="1:7">
      <c r="A74" s="4" t="s">
        <v>168</v>
      </c>
      <c r="B74" s="4" t="s">
        <v>153</v>
      </c>
      <c r="D74" s="4">
        <v>70</v>
      </c>
      <c r="E74" s="4">
        <v>150</v>
      </c>
      <c r="F74" s="4">
        <v>150</v>
      </c>
    </row>
    <row r="75" spans="1:7">
      <c r="A75" s="57" t="s">
        <v>171</v>
      </c>
      <c r="B75" s="57" t="s">
        <v>173</v>
      </c>
      <c r="C75" s="57"/>
      <c r="D75" s="66">
        <f>+J61+K61</f>
        <v>26</v>
      </c>
      <c r="E75" s="66">
        <f>+D75</f>
        <v>26</v>
      </c>
      <c r="F75" s="66">
        <f>+E75</f>
        <v>26</v>
      </c>
    </row>
    <row r="76" spans="1:7">
      <c r="A76" s="57" t="s">
        <v>168</v>
      </c>
      <c r="B76" s="57" t="s">
        <v>161</v>
      </c>
      <c r="C76" s="57"/>
      <c r="D76" s="68">
        <f>+(D73-D74-D75)*0.3</f>
        <v>1.2</v>
      </c>
      <c r="E76" s="68">
        <f t="shared" ref="E76:F76" si="2">+(E73-E74-E75)*0.3</f>
        <v>22.2</v>
      </c>
      <c r="F76" s="68">
        <f t="shared" si="2"/>
        <v>22.2</v>
      </c>
    </row>
    <row r="77" spans="1:7">
      <c r="A77" s="4" t="s">
        <v>168</v>
      </c>
      <c r="B77" s="4" t="s">
        <v>162</v>
      </c>
      <c r="C77" s="4">
        <v>90</v>
      </c>
      <c r="D77" s="65">
        <v>20</v>
      </c>
      <c r="E77" s="65"/>
      <c r="F77" s="65">
        <v>-32</v>
      </c>
      <c r="G77" s="4" t="s">
        <v>178</v>
      </c>
    </row>
    <row r="79" spans="1:7">
      <c r="A79" s="4" t="s">
        <v>169</v>
      </c>
      <c r="C79" s="4">
        <f>-C77</f>
        <v>-90</v>
      </c>
      <c r="D79" s="69">
        <f>+D73-SUM(D74,D76,D77)</f>
        <v>8.7999999999999972</v>
      </c>
      <c r="E79" s="69">
        <f t="shared" ref="E79:F79" si="3">+E73-SUM(E74,E76,E77)</f>
        <v>77.800000000000011</v>
      </c>
      <c r="F79" s="69">
        <f t="shared" si="3"/>
        <v>109.80000000000001</v>
      </c>
    </row>
    <row r="81" spans="1:6">
      <c r="A81" s="4" t="s">
        <v>48</v>
      </c>
    </row>
    <row r="82" spans="1:6">
      <c r="B82" s="4" t="s">
        <v>176</v>
      </c>
      <c r="C82" s="4">
        <v>1</v>
      </c>
      <c r="D82" s="51">
        <v>0.90910000000000002</v>
      </c>
      <c r="E82" s="51">
        <v>0.82640000000000002</v>
      </c>
      <c r="F82" s="51">
        <v>0.75129999999999997</v>
      </c>
    </row>
    <row r="83" spans="1:6">
      <c r="B83" s="4" t="s">
        <v>174</v>
      </c>
      <c r="C83" s="4">
        <f>+C66*C82</f>
        <v>-20</v>
      </c>
      <c r="D83" s="4">
        <f t="shared" ref="D83:F83" si="4">+D66*D82</f>
        <v>17.2729</v>
      </c>
      <c r="E83" s="4">
        <f t="shared" si="4"/>
        <v>19.833600000000001</v>
      </c>
      <c r="F83" s="4">
        <f t="shared" si="4"/>
        <v>18.031199999999998</v>
      </c>
    </row>
    <row r="84" spans="1:6">
      <c r="B84" s="4" t="s">
        <v>177</v>
      </c>
      <c r="C84" s="70">
        <f>+SUM(C83:F83)</f>
        <v>35.137699999999995</v>
      </c>
    </row>
    <row r="86" spans="1:6">
      <c r="B86" s="4" t="s">
        <v>175</v>
      </c>
      <c r="C86" s="4">
        <f>+C79*C82</f>
        <v>-90</v>
      </c>
      <c r="D86" s="4">
        <f>+D79*D82</f>
        <v>8.000079999999997</v>
      </c>
      <c r="E86" s="4">
        <f t="shared" ref="E86:F86" si="5">+E79*E82</f>
        <v>64.293920000000014</v>
      </c>
      <c r="F86" s="4">
        <f t="shared" si="5"/>
        <v>82.492740000000012</v>
      </c>
    </row>
    <row r="87" spans="1:6">
      <c r="B87" s="4" t="s">
        <v>177</v>
      </c>
      <c r="C87" s="70">
        <f>+SUM(C86:F86)</f>
        <v>64.786740000000023</v>
      </c>
      <c r="D87" s="34" t="s">
        <v>179</v>
      </c>
    </row>
    <row r="89" spans="1:6">
      <c r="A89" s="4" t="s">
        <v>180</v>
      </c>
    </row>
    <row r="90" spans="1:6">
      <c r="C90" s="4" t="s">
        <v>181</v>
      </c>
      <c r="E90" s="4" t="s">
        <v>185</v>
      </c>
    </row>
    <row r="91" spans="1:6">
      <c r="B91" s="4" t="s">
        <v>182</v>
      </c>
      <c r="C91" s="52">
        <f>1-(C66+D66)/E66</f>
        <v>1.0416666666666667</v>
      </c>
      <c r="D91" s="4" t="s">
        <v>187</v>
      </c>
      <c r="E91" s="52">
        <f>-SUM(D66:F66)/C66</f>
        <v>3.35</v>
      </c>
      <c r="F91" s="4" t="s">
        <v>188</v>
      </c>
    </row>
    <row r="92" spans="1:6">
      <c r="B92" s="4" t="s">
        <v>183</v>
      </c>
      <c r="C92" s="52">
        <f>2-SUM(C79:E79)/F79</f>
        <v>2.0309653916211294</v>
      </c>
      <c r="D92" s="4" t="s">
        <v>184</v>
      </c>
      <c r="E92" s="52">
        <f>-SUM(D86:F86)/C86</f>
        <v>1.7198526666666667</v>
      </c>
    </row>
    <row r="94" spans="1:6">
      <c r="C94" s="4" t="s">
        <v>186</v>
      </c>
    </row>
  </sheetData>
  <phoneticPr fontId="3"/>
  <pageMargins left="0.25" right="0.25" top="0.75" bottom="0.75" header="0.3" footer="0.3"/>
  <pageSetup paperSize="9" scale="6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127"/>
  <sheetViews>
    <sheetView zoomScale="70" zoomScaleNormal="70" workbookViewId="0">
      <selection activeCell="F19" sqref="F19"/>
    </sheetView>
  </sheetViews>
  <sheetFormatPr defaultColWidth="12" defaultRowHeight="16.2"/>
  <cols>
    <col min="1" max="1" width="12.109375" style="4" customWidth="1"/>
    <col min="2" max="5" width="13.109375" style="4" customWidth="1"/>
    <col min="6" max="8" width="12.6640625" style="4" customWidth="1"/>
    <col min="9" max="12" width="13.109375" style="4" customWidth="1"/>
    <col min="13" max="13" width="12" style="4"/>
    <col min="14" max="14" width="11.88671875" style="4" customWidth="1"/>
    <col min="15" max="16384" width="12" style="4"/>
  </cols>
  <sheetData>
    <row r="1" spans="1:20">
      <c r="A1" s="1" t="s">
        <v>0</v>
      </c>
      <c r="B1" s="2"/>
      <c r="C1" s="2"/>
      <c r="D1" s="2"/>
      <c r="E1" s="2"/>
      <c r="F1" s="2"/>
      <c r="G1" s="2"/>
      <c r="H1" s="2"/>
      <c r="I1" s="2"/>
      <c r="J1" s="2"/>
      <c r="K1" s="2"/>
      <c r="L1" s="2"/>
      <c r="M1" s="2"/>
      <c r="N1" s="2"/>
      <c r="O1" s="2"/>
      <c r="P1" s="2"/>
      <c r="Q1" s="2"/>
      <c r="R1" s="2"/>
      <c r="S1" s="3"/>
    </row>
    <row r="2" spans="1:20">
      <c r="A2" s="5" t="s">
        <v>192</v>
      </c>
      <c r="B2" s="6"/>
      <c r="C2" s="6"/>
      <c r="D2" s="6"/>
      <c r="E2" s="6"/>
      <c r="F2" s="6"/>
      <c r="G2" s="6"/>
      <c r="H2" s="6"/>
      <c r="I2" s="6"/>
      <c r="J2" s="6"/>
      <c r="K2" s="6"/>
      <c r="L2" s="6"/>
      <c r="M2" s="6"/>
      <c r="N2" s="6"/>
      <c r="O2" s="6"/>
      <c r="P2" s="6"/>
      <c r="Q2" s="6"/>
      <c r="R2" s="6"/>
      <c r="S2" s="7"/>
    </row>
    <row r="3" spans="1:20">
      <c r="A3" s="8" t="s">
        <v>2</v>
      </c>
      <c r="B3" s="9"/>
      <c r="C3" s="60" t="s">
        <v>98</v>
      </c>
      <c r="D3" s="9"/>
      <c r="E3" s="9"/>
      <c r="F3" s="9"/>
      <c r="G3" s="9"/>
      <c r="H3" s="9"/>
      <c r="I3" s="9"/>
      <c r="J3" s="9"/>
      <c r="K3" s="9"/>
      <c r="L3" s="9"/>
      <c r="M3" s="9"/>
      <c r="N3" s="9"/>
      <c r="O3" s="9"/>
      <c r="P3" s="9"/>
      <c r="Q3" s="9"/>
      <c r="R3" s="9"/>
      <c r="S3" s="10"/>
    </row>
    <row r="4" spans="1:20" s="12" customFormat="1">
      <c r="A4" s="11"/>
      <c r="B4" s="11"/>
      <c r="C4" s="11"/>
      <c r="D4" s="11"/>
      <c r="E4" s="11"/>
      <c r="F4" s="11"/>
      <c r="G4" s="11"/>
      <c r="H4" s="11"/>
      <c r="I4" s="11"/>
      <c r="J4" s="11"/>
      <c r="K4" s="11"/>
      <c r="L4" s="11"/>
      <c r="M4" s="11"/>
      <c r="N4" s="11"/>
      <c r="O4" s="11"/>
      <c r="P4" s="11"/>
      <c r="Q4" s="11"/>
      <c r="R4" s="11"/>
      <c r="S4" s="11"/>
    </row>
    <row r="5" spans="1:20" ht="18" customHeight="1">
      <c r="A5" s="13" t="s">
        <v>3</v>
      </c>
      <c r="B5" s="14"/>
      <c r="C5" s="14"/>
      <c r="D5" s="14"/>
      <c r="E5" s="14"/>
      <c r="F5" s="14"/>
      <c r="G5" s="14"/>
      <c r="H5" s="14"/>
      <c r="I5" s="14"/>
      <c r="J5" s="14"/>
      <c r="K5" s="14"/>
      <c r="L5" s="14"/>
      <c r="M5" s="14"/>
      <c r="N5" s="14"/>
      <c r="O5" s="14"/>
      <c r="P5" s="14"/>
      <c r="Q5" s="14"/>
      <c r="R5" s="14"/>
      <c r="S5" s="14"/>
      <c r="T5" s="15"/>
    </row>
    <row r="6" spans="1:20">
      <c r="A6" s="16" t="s">
        <v>193</v>
      </c>
      <c r="B6" s="17"/>
      <c r="C6" s="17"/>
      <c r="D6" s="17"/>
      <c r="E6" s="17"/>
      <c r="F6" s="17"/>
      <c r="G6" s="17"/>
      <c r="H6" s="17"/>
      <c r="I6" s="17"/>
      <c r="J6" s="17"/>
      <c r="K6" s="17"/>
      <c r="L6" s="17"/>
      <c r="M6" s="17"/>
      <c r="N6" s="17"/>
      <c r="O6" s="17"/>
      <c r="P6" s="17"/>
      <c r="Q6" s="17"/>
      <c r="R6" s="17"/>
      <c r="S6" s="17"/>
      <c r="T6" s="18"/>
    </row>
    <row r="7" spans="1:20">
      <c r="A7" s="16"/>
      <c r="B7" s="17"/>
      <c r="C7" s="17"/>
      <c r="D7" s="17"/>
      <c r="E7" s="17"/>
      <c r="F7" s="17"/>
      <c r="G7" s="17"/>
      <c r="H7" s="17"/>
      <c r="I7" s="17"/>
      <c r="J7" s="17"/>
      <c r="K7" s="17"/>
      <c r="L7" s="17"/>
      <c r="M7" s="17"/>
      <c r="N7" s="17"/>
      <c r="O7" s="17"/>
      <c r="P7" s="17"/>
      <c r="Q7" s="17"/>
      <c r="R7" s="17"/>
      <c r="S7" s="17"/>
      <c r="T7" s="18"/>
    </row>
    <row r="8" spans="1:20">
      <c r="A8" s="19"/>
      <c r="B8" s="20"/>
      <c r="C8" s="20"/>
      <c r="D8" s="20"/>
      <c r="E8" s="20"/>
      <c r="F8" s="20"/>
      <c r="G8" s="20"/>
      <c r="H8" s="20"/>
      <c r="I8" s="20"/>
      <c r="J8" s="20"/>
      <c r="K8" s="20"/>
      <c r="L8" s="20"/>
      <c r="M8" s="20"/>
      <c r="N8" s="20"/>
      <c r="O8" s="20"/>
      <c r="P8" s="20"/>
      <c r="Q8" s="20"/>
      <c r="R8" s="20"/>
      <c r="S8" s="20"/>
      <c r="T8" s="21"/>
    </row>
    <row r="9" spans="1:20" s="12" customFormat="1" ht="17.25" customHeight="1">
      <c r="A9" s="22"/>
      <c r="B9" s="22"/>
      <c r="C9" s="22"/>
      <c r="D9" s="22"/>
      <c r="E9" s="22"/>
      <c r="F9" s="22"/>
      <c r="G9" s="22"/>
      <c r="H9" s="22"/>
      <c r="I9" s="22"/>
      <c r="J9" s="22"/>
      <c r="K9" s="22"/>
      <c r="L9" s="22"/>
      <c r="M9" s="22"/>
      <c r="N9" s="22"/>
      <c r="O9" s="22"/>
      <c r="P9" s="22"/>
      <c r="Q9" s="22"/>
      <c r="R9" s="22"/>
      <c r="S9" s="22"/>
      <c r="T9" s="22"/>
    </row>
    <row r="10" spans="1:20">
      <c r="A10" s="4" t="s">
        <v>194</v>
      </c>
    </row>
    <row r="12" spans="1:20">
      <c r="B12" s="4" t="s">
        <v>195</v>
      </c>
      <c r="J12" s="4" t="s">
        <v>207</v>
      </c>
      <c r="Q12" s="4" t="s">
        <v>207</v>
      </c>
    </row>
    <row r="13" spans="1:20">
      <c r="B13" s="4" t="s">
        <v>196</v>
      </c>
      <c r="G13" s="4" t="s">
        <v>202</v>
      </c>
      <c r="J13" s="56">
        <v>1.1000000000000001</v>
      </c>
      <c r="K13" s="56"/>
      <c r="L13" s="56"/>
      <c r="N13" s="4" t="s">
        <v>208</v>
      </c>
      <c r="Q13" s="56">
        <v>1.05</v>
      </c>
    </row>
    <row r="14" spans="1:20">
      <c r="N14" s="4" t="s">
        <v>215</v>
      </c>
    </row>
    <row r="15" spans="1:20">
      <c r="B15" s="71" t="s">
        <v>198</v>
      </c>
      <c r="C15" s="72"/>
      <c r="D15" s="71" t="s">
        <v>79</v>
      </c>
      <c r="E15" s="73">
        <v>42000</v>
      </c>
      <c r="G15" s="71" t="s">
        <v>198</v>
      </c>
      <c r="H15" s="72"/>
      <c r="I15" s="71" t="s">
        <v>79</v>
      </c>
      <c r="J15" s="73">
        <f>+E15*J13</f>
        <v>46200.000000000007</v>
      </c>
      <c r="K15" s="57"/>
      <c r="L15" s="57"/>
      <c r="N15" s="71" t="s">
        <v>198</v>
      </c>
      <c r="O15" s="72"/>
      <c r="P15" s="71" t="s">
        <v>79</v>
      </c>
      <c r="Q15" s="73">
        <f>+E15*Q13</f>
        <v>44100</v>
      </c>
    </row>
    <row r="16" spans="1:20">
      <c r="B16" s="74" t="s">
        <v>101</v>
      </c>
      <c r="C16" s="57">
        <v>10500</v>
      </c>
      <c r="D16" s="74"/>
      <c r="E16" s="75"/>
      <c r="G16" s="74" t="s">
        <v>101</v>
      </c>
      <c r="H16" s="57">
        <f>+C16*J13</f>
        <v>11550.000000000002</v>
      </c>
      <c r="I16" s="74"/>
      <c r="J16" s="75"/>
      <c r="K16" s="57"/>
      <c r="L16" s="57"/>
      <c r="N16" s="74" t="s">
        <v>101</v>
      </c>
      <c r="O16" s="57">
        <f>+C16*Q13</f>
        <v>11025</v>
      </c>
      <c r="P16" s="74"/>
      <c r="Q16" s="75"/>
    </row>
    <row r="17" spans="2:17">
      <c r="B17" s="74" t="s">
        <v>204</v>
      </c>
      <c r="C17" s="57">
        <v>19500</v>
      </c>
      <c r="D17" s="74"/>
      <c r="E17" s="75"/>
      <c r="G17" s="74" t="s">
        <v>204</v>
      </c>
      <c r="H17" s="57">
        <f>+C17</f>
        <v>19500</v>
      </c>
      <c r="I17" s="74"/>
      <c r="J17" s="75"/>
      <c r="K17" s="57"/>
      <c r="L17" s="57"/>
      <c r="N17" s="74" t="s">
        <v>204</v>
      </c>
      <c r="O17" s="57">
        <f>+C17</f>
        <v>19500</v>
      </c>
      <c r="P17" s="74"/>
      <c r="Q17" s="75"/>
    </row>
    <row r="18" spans="2:17">
      <c r="B18" s="74" t="s">
        <v>205</v>
      </c>
      <c r="C18" s="57">
        <v>3000</v>
      </c>
      <c r="D18" s="74"/>
      <c r="E18" s="75"/>
      <c r="G18" s="74" t="s">
        <v>205</v>
      </c>
      <c r="H18" s="57">
        <f>+C18</f>
        <v>3000</v>
      </c>
      <c r="I18" s="74"/>
      <c r="J18" s="75"/>
      <c r="K18" s="57"/>
      <c r="L18" s="57"/>
      <c r="N18" s="74" t="s">
        <v>205</v>
      </c>
      <c r="O18" s="57">
        <f>+C18</f>
        <v>3000</v>
      </c>
      <c r="P18" s="74"/>
      <c r="Q18" s="75"/>
    </row>
    <row r="19" spans="2:17">
      <c r="B19" s="74" t="s">
        <v>206</v>
      </c>
      <c r="C19" s="57">
        <v>6500</v>
      </c>
      <c r="D19" s="74"/>
      <c r="E19" s="75"/>
      <c r="G19" s="74" t="s">
        <v>206</v>
      </c>
      <c r="H19" s="57">
        <f>+C19*1.1</f>
        <v>7150.0000000000009</v>
      </c>
      <c r="I19" s="74"/>
      <c r="J19" s="75"/>
      <c r="K19" s="57"/>
      <c r="L19" s="57"/>
      <c r="N19" s="74" t="s">
        <v>206</v>
      </c>
      <c r="O19" s="57">
        <f>+C19</f>
        <v>6500</v>
      </c>
      <c r="P19" s="74"/>
      <c r="Q19" s="75"/>
    </row>
    <row r="20" spans="2:17">
      <c r="B20" s="74"/>
      <c r="C20" s="57"/>
      <c r="D20" s="74" t="s">
        <v>197</v>
      </c>
      <c r="E20" s="75"/>
      <c r="G20" s="74"/>
      <c r="H20" s="57"/>
      <c r="I20" s="74" t="s">
        <v>197</v>
      </c>
      <c r="J20" s="75"/>
      <c r="K20" s="57"/>
      <c r="L20" s="57"/>
      <c r="N20" s="74"/>
      <c r="O20" s="57"/>
      <c r="P20" s="74" t="s">
        <v>197</v>
      </c>
      <c r="Q20" s="75"/>
    </row>
    <row r="21" spans="2:17">
      <c r="B21" s="80" t="s">
        <v>9</v>
      </c>
      <c r="C21" s="81">
        <v>2000</v>
      </c>
      <c r="D21" s="74"/>
      <c r="E21" s="75"/>
      <c r="G21" s="80" t="s">
        <v>9</v>
      </c>
      <c r="H21" s="81">
        <v>3000</v>
      </c>
      <c r="I21" s="74"/>
      <c r="J21" s="75"/>
      <c r="K21" s="57"/>
      <c r="L21" s="57"/>
      <c r="N21" s="80" t="s">
        <v>9</v>
      </c>
      <c r="O21" s="81">
        <v>2000</v>
      </c>
      <c r="P21" s="74"/>
      <c r="Q21" s="75"/>
    </row>
    <row r="22" spans="2:17">
      <c r="B22" s="82"/>
      <c r="C22" s="83"/>
      <c r="D22" s="74"/>
      <c r="E22" s="75"/>
      <c r="G22" s="82"/>
      <c r="H22" s="83"/>
      <c r="I22" s="74"/>
      <c r="J22" s="75"/>
      <c r="K22" s="57"/>
      <c r="L22" s="57"/>
      <c r="N22" s="82"/>
      <c r="O22" s="83"/>
      <c r="P22" s="74"/>
      <c r="Q22" s="75"/>
    </row>
    <row r="23" spans="2:17">
      <c r="B23" s="84" t="s">
        <v>199</v>
      </c>
      <c r="C23" s="78">
        <v>500</v>
      </c>
      <c r="D23" s="74"/>
      <c r="E23" s="75"/>
      <c r="G23" s="84" t="s">
        <v>199</v>
      </c>
      <c r="H23" s="86">
        <f>+J15-SUM(H16:H21)</f>
        <v>2000.0000000000073</v>
      </c>
      <c r="I23" s="74"/>
      <c r="J23" s="75"/>
      <c r="K23" s="57"/>
      <c r="L23" s="57"/>
      <c r="N23" s="84" t="s">
        <v>199</v>
      </c>
      <c r="O23" s="86">
        <f>+Q15-SUM(O16:O21)</f>
        <v>2075</v>
      </c>
      <c r="P23" s="74"/>
      <c r="Q23" s="75"/>
    </row>
    <row r="24" spans="2:17">
      <c r="B24" s="84" t="s">
        <v>201</v>
      </c>
      <c r="C24" s="79" t="s">
        <v>200</v>
      </c>
      <c r="D24" s="74"/>
      <c r="E24" s="75"/>
      <c r="G24" s="84" t="s">
        <v>201</v>
      </c>
      <c r="H24" s="79" t="s">
        <v>200</v>
      </c>
      <c r="I24" s="74"/>
      <c r="J24" s="75"/>
      <c r="K24" s="57"/>
      <c r="L24" s="57"/>
      <c r="N24" s="84" t="s">
        <v>201</v>
      </c>
      <c r="O24" s="79" t="s">
        <v>200</v>
      </c>
      <c r="P24" s="74"/>
      <c r="Q24" s="75"/>
    </row>
    <row r="25" spans="2:17">
      <c r="B25" s="82">
        <f>+C23*0.6</f>
        <v>300</v>
      </c>
      <c r="C25" s="44">
        <f>+C23*0.4</f>
        <v>200</v>
      </c>
      <c r="D25" s="76"/>
      <c r="E25" s="77"/>
      <c r="G25" s="82">
        <f>+H23*0.6</f>
        <v>1200.0000000000043</v>
      </c>
      <c r="H25" s="44">
        <f>+H23*0.4</f>
        <v>800.00000000000296</v>
      </c>
      <c r="I25" s="76"/>
      <c r="J25" s="77"/>
      <c r="K25" s="57"/>
      <c r="L25" s="57"/>
      <c r="N25" s="82">
        <f>+O23*0.6</f>
        <v>1245</v>
      </c>
      <c r="O25" s="44">
        <f>+O23*0.4</f>
        <v>830</v>
      </c>
      <c r="P25" s="76"/>
      <c r="Q25" s="77"/>
    </row>
    <row r="27" spans="2:17">
      <c r="B27" s="4" t="s">
        <v>203</v>
      </c>
      <c r="G27" s="4" t="s">
        <v>209</v>
      </c>
      <c r="N27" s="4" t="s">
        <v>209</v>
      </c>
    </row>
    <row r="28" spans="2:17">
      <c r="B28" s="85">
        <f>+C21+B25</f>
        <v>2300</v>
      </c>
      <c r="G28" s="85">
        <f>+H21+G25</f>
        <v>4200.0000000000045</v>
      </c>
      <c r="N28" s="34">
        <f>+O21+N25</f>
        <v>3245</v>
      </c>
    </row>
    <row r="30" spans="2:17">
      <c r="F30" s="4" t="s">
        <v>213</v>
      </c>
      <c r="G30" s="32">
        <f>+(C33-C36*4)*0.4</f>
        <v>800</v>
      </c>
    </row>
    <row r="31" spans="2:17">
      <c r="B31" s="4" t="s">
        <v>210</v>
      </c>
    </row>
    <row r="32" spans="2:17">
      <c r="C32" s="4" t="s">
        <v>211</v>
      </c>
      <c r="D32" s="4" t="s">
        <v>212</v>
      </c>
      <c r="F32" s="4" t="s">
        <v>214</v>
      </c>
      <c r="G32" s="34">
        <f>+G28+G30</f>
        <v>5000.0000000000045</v>
      </c>
    </row>
    <row r="33" spans="1:21">
      <c r="B33" s="4" t="s">
        <v>80</v>
      </c>
      <c r="C33" s="4">
        <v>10000</v>
      </c>
      <c r="D33" s="4">
        <v>15000</v>
      </c>
    </row>
    <row r="34" spans="1:21">
      <c r="B34" s="4" t="s">
        <v>59</v>
      </c>
      <c r="C34" s="4">
        <v>0</v>
      </c>
      <c r="D34" s="4">
        <v>0</v>
      </c>
    </row>
    <row r="35" spans="1:21">
      <c r="B35" s="4" t="s">
        <v>158</v>
      </c>
      <c r="C35" s="4">
        <v>5</v>
      </c>
      <c r="D35" s="4">
        <v>5</v>
      </c>
    </row>
    <row r="36" spans="1:21">
      <c r="B36" s="4" t="s">
        <v>159</v>
      </c>
      <c r="C36" s="4">
        <f>+C33/C35</f>
        <v>2000</v>
      </c>
      <c r="D36" s="4">
        <f>+D33/D35</f>
        <v>3000</v>
      </c>
    </row>
    <row r="39" spans="1:21">
      <c r="A39" s="4" t="s">
        <v>118</v>
      </c>
      <c r="B39" s="4" t="s">
        <v>216</v>
      </c>
    </row>
    <row r="41" spans="1:21">
      <c r="E41" s="90" t="s">
        <v>232</v>
      </c>
      <c r="F41" s="91"/>
      <c r="G41" s="91" t="s">
        <v>217</v>
      </c>
      <c r="H41" s="91"/>
      <c r="I41" s="91"/>
      <c r="J41" s="91"/>
      <c r="K41" s="91"/>
      <c r="L41" s="91"/>
      <c r="M41" s="91"/>
      <c r="N41" s="91"/>
      <c r="O41" s="91" t="s">
        <v>229</v>
      </c>
      <c r="P41" s="91"/>
      <c r="Q41" s="91"/>
      <c r="R41" s="91"/>
      <c r="S41" s="91"/>
      <c r="T41" s="91"/>
      <c r="U41" s="92"/>
    </row>
    <row r="42" spans="1:21">
      <c r="E42" s="93"/>
      <c r="F42" s="94"/>
      <c r="G42" s="94"/>
      <c r="H42" s="94"/>
      <c r="I42" s="94"/>
      <c r="J42" s="94"/>
      <c r="K42" s="94"/>
      <c r="L42" s="94"/>
      <c r="M42" s="94"/>
      <c r="N42" s="94"/>
      <c r="O42" s="94"/>
      <c r="P42" s="94"/>
      <c r="Q42" s="94"/>
      <c r="R42" s="94"/>
      <c r="S42" s="94"/>
      <c r="T42" s="94"/>
      <c r="U42" s="95"/>
    </row>
    <row r="43" spans="1:21">
      <c r="E43" s="93"/>
      <c r="F43" s="94"/>
      <c r="G43" s="96" t="s">
        <v>218</v>
      </c>
      <c r="H43" s="97" t="s">
        <v>219</v>
      </c>
      <c r="I43" s="97" t="s">
        <v>220</v>
      </c>
      <c r="J43" s="97" t="s">
        <v>221</v>
      </c>
      <c r="K43" s="97" t="s">
        <v>222</v>
      </c>
      <c r="L43" s="97" t="s">
        <v>223</v>
      </c>
      <c r="M43" s="94"/>
      <c r="N43" s="94"/>
      <c r="O43" s="96" t="s">
        <v>218</v>
      </c>
      <c r="P43" s="97" t="s">
        <v>219</v>
      </c>
      <c r="Q43" s="97" t="s">
        <v>220</v>
      </c>
      <c r="R43" s="97" t="s">
        <v>221</v>
      </c>
      <c r="S43" s="97" t="s">
        <v>222</v>
      </c>
      <c r="T43" s="97" t="s">
        <v>223</v>
      </c>
      <c r="U43" s="95"/>
    </row>
    <row r="44" spans="1:21">
      <c r="E44" s="93"/>
      <c r="F44" s="94"/>
      <c r="G44" s="92"/>
      <c r="H44" s="98"/>
      <c r="I44" s="98"/>
      <c r="J44" s="98"/>
      <c r="K44" s="98"/>
      <c r="L44" s="90"/>
      <c r="M44" s="94"/>
      <c r="N44" s="94"/>
      <c r="O44" s="92"/>
      <c r="P44" s="98"/>
      <c r="Q44" s="98"/>
      <c r="R44" s="98"/>
      <c r="S44" s="98"/>
      <c r="T44" s="90"/>
      <c r="U44" s="95"/>
    </row>
    <row r="45" spans="1:21">
      <c r="E45" s="93"/>
      <c r="F45" s="94" t="s">
        <v>224</v>
      </c>
      <c r="G45" s="94"/>
      <c r="H45" s="94">
        <f>+G30</f>
        <v>800</v>
      </c>
      <c r="I45" s="94"/>
      <c r="J45" s="94"/>
      <c r="K45" s="94"/>
      <c r="L45" s="94"/>
      <c r="M45" s="94"/>
      <c r="N45" s="94"/>
      <c r="O45" s="94"/>
      <c r="P45" s="94"/>
      <c r="Q45" s="94"/>
      <c r="R45" s="94"/>
      <c r="S45" s="94"/>
      <c r="T45" s="94"/>
      <c r="U45" s="95"/>
    </row>
    <row r="46" spans="1:21">
      <c r="E46" s="93"/>
      <c r="F46" s="94" t="s">
        <v>225</v>
      </c>
      <c r="G46" s="94"/>
      <c r="H46" s="94">
        <f>+G28</f>
        <v>4200.0000000000045</v>
      </c>
      <c r="I46" s="94">
        <f>+H46</f>
        <v>4200.0000000000045</v>
      </c>
      <c r="J46" s="94">
        <f t="shared" ref="J46:L46" si="0">+I46</f>
        <v>4200.0000000000045</v>
      </c>
      <c r="K46" s="94">
        <f t="shared" si="0"/>
        <v>4200.0000000000045</v>
      </c>
      <c r="L46" s="94">
        <f t="shared" si="0"/>
        <v>4200.0000000000045</v>
      </c>
      <c r="M46" s="94"/>
      <c r="N46" s="94" t="s">
        <v>225</v>
      </c>
      <c r="O46" s="94"/>
      <c r="P46" s="94">
        <f>+N28</f>
        <v>3245</v>
      </c>
      <c r="Q46" s="94">
        <f>+$G$28</f>
        <v>4200.0000000000045</v>
      </c>
      <c r="R46" s="94">
        <f t="shared" ref="R46:T46" si="1">+$G$28</f>
        <v>4200.0000000000045</v>
      </c>
      <c r="S46" s="94">
        <f t="shared" si="1"/>
        <v>4200.0000000000045</v>
      </c>
      <c r="T46" s="94">
        <f t="shared" si="1"/>
        <v>4200.0000000000045</v>
      </c>
      <c r="U46" s="95"/>
    </row>
    <row r="47" spans="1:21">
      <c r="E47" s="93"/>
      <c r="F47" s="94" t="s">
        <v>226</v>
      </c>
      <c r="G47" s="94">
        <f>+D33</f>
        <v>15000</v>
      </c>
      <c r="H47" s="94"/>
      <c r="I47" s="94"/>
      <c r="J47" s="94"/>
      <c r="K47" s="94"/>
      <c r="L47" s="94"/>
      <c r="M47" s="94"/>
      <c r="N47" s="94" t="s">
        <v>226</v>
      </c>
      <c r="O47" s="94"/>
      <c r="P47" s="94">
        <v>15000</v>
      </c>
      <c r="Q47" s="94"/>
      <c r="R47" s="94"/>
      <c r="S47" s="94"/>
      <c r="T47" s="94"/>
      <c r="U47" s="95"/>
    </row>
    <row r="48" spans="1:21">
      <c r="E48" s="93"/>
      <c r="F48" s="94"/>
      <c r="G48" s="94"/>
      <c r="H48" s="94"/>
      <c r="I48" s="94"/>
      <c r="J48" s="94"/>
      <c r="K48" s="94"/>
      <c r="L48" s="94"/>
      <c r="M48" s="94"/>
      <c r="N48" s="94"/>
      <c r="O48" s="94"/>
      <c r="P48" s="94"/>
      <c r="Q48" s="94"/>
      <c r="R48" s="94"/>
      <c r="S48" s="94"/>
      <c r="T48" s="94"/>
      <c r="U48" s="95"/>
    </row>
    <row r="49" spans="5:21">
      <c r="E49" s="93"/>
      <c r="F49" s="94" t="s">
        <v>176</v>
      </c>
      <c r="G49" s="94">
        <v>1</v>
      </c>
      <c r="H49" s="99">
        <v>0.95</v>
      </c>
      <c r="I49" s="99">
        <v>0.91</v>
      </c>
      <c r="J49" s="99">
        <v>0.86</v>
      </c>
      <c r="K49" s="99">
        <v>0.82</v>
      </c>
      <c r="L49" s="99">
        <v>0.78</v>
      </c>
      <c r="M49" s="94"/>
      <c r="N49" s="94" t="s">
        <v>176</v>
      </c>
      <c r="O49" s="94">
        <v>1</v>
      </c>
      <c r="P49" s="99">
        <v>0.95</v>
      </c>
      <c r="Q49" s="99">
        <v>0.91</v>
      </c>
      <c r="R49" s="99">
        <v>0.86</v>
      </c>
      <c r="S49" s="99">
        <v>0.82</v>
      </c>
      <c r="T49" s="99">
        <v>0.78</v>
      </c>
      <c r="U49" s="95"/>
    </row>
    <row r="50" spans="5:21">
      <c r="E50" s="93"/>
      <c r="F50" s="94" t="s">
        <v>227</v>
      </c>
      <c r="G50" s="94">
        <f>-G47*G49</f>
        <v>-15000</v>
      </c>
      <c r="H50" s="94">
        <f>+SUM(H45:H46)*H49</f>
        <v>4750.0000000000045</v>
      </c>
      <c r="I50" s="94">
        <f t="shared" ref="I50:L50" si="2">+SUM(I45:I46)*I49</f>
        <v>3822.0000000000041</v>
      </c>
      <c r="J50" s="94">
        <f t="shared" si="2"/>
        <v>3612.0000000000036</v>
      </c>
      <c r="K50" s="94">
        <f t="shared" si="2"/>
        <v>3444.0000000000036</v>
      </c>
      <c r="L50" s="94">
        <f t="shared" si="2"/>
        <v>3276.0000000000036</v>
      </c>
      <c r="M50" s="94"/>
      <c r="N50" s="94" t="s">
        <v>227</v>
      </c>
      <c r="O50" s="94">
        <f>-O47*O49</f>
        <v>0</v>
      </c>
      <c r="P50" s="94">
        <f>(P46-P47)*P49</f>
        <v>-11167.25</v>
      </c>
      <c r="Q50" s="94">
        <f t="shared" ref="Q50:T50" si="3">(Q46-Q47)*Q49</f>
        <v>3822.0000000000041</v>
      </c>
      <c r="R50" s="94">
        <f t="shared" si="3"/>
        <v>3612.0000000000036</v>
      </c>
      <c r="S50" s="94">
        <f t="shared" si="3"/>
        <v>3444.0000000000036</v>
      </c>
      <c r="T50" s="94">
        <f t="shared" si="3"/>
        <v>3276.0000000000036</v>
      </c>
      <c r="U50" s="95"/>
    </row>
    <row r="51" spans="5:21">
      <c r="E51" s="93"/>
      <c r="F51" s="94" t="s">
        <v>228</v>
      </c>
      <c r="G51" s="94">
        <f>+SUM(G50:L50)</f>
        <v>3904.0000000000182</v>
      </c>
      <c r="H51" s="94"/>
      <c r="I51" s="94"/>
      <c r="J51" s="94"/>
      <c r="K51" s="94"/>
      <c r="L51" s="94"/>
      <c r="M51" s="94"/>
      <c r="N51" s="94" t="s">
        <v>228</v>
      </c>
      <c r="O51" s="94">
        <f>+SUM(O50:T50)</f>
        <v>2986.7500000000146</v>
      </c>
      <c r="P51" s="94"/>
      <c r="Q51" s="94"/>
      <c r="R51" s="94"/>
      <c r="S51" s="94"/>
      <c r="T51" s="94"/>
      <c r="U51" s="95"/>
    </row>
    <row r="52" spans="5:21">
      <c r="E52" s="93"/>
      <c r="F52" s="94"/>
      <c r="G52" s="94"/>
      <c r="H52" s="94"/>
      <c r="I52" s="94"/>
      <c r="J52" s="94"/>
      <c r="K52" s="94"/>
      <c r="L52" s="94"/>
      <c r="M52" s="94"/>
      <c r="N52" s="94"/>
      <c r="O52" s="94"/>
      <c r="P52" s="94"/>
      <c r="Q52" s="94"/>
      <c r="R52" s="94"/>
      <c r="S52" s="94"/>
      <c r="T52" s="94"/>
      <c r="U52" s="95"/>
    </row>
    <row r="53" spans="5:21">
      <c r="E53" s="93"/>
      <c r="F53" s="100" t="s">
        <v>230</v>
      </c>
      <c r="G53" s="89">
        <f>+G51-O51</f>
        <v>917.25000000000364</v>
      </c>
      <c r="H53" s="94" t="s">
        <v>231</v>
      </c>
      <c r="I53" s="94"/>
      <c r="J53" s="94"/>
      <c r="K53" s="94"/>
      <c r="L53" s="94"/>
      <c r="M53" s="94"/>
      <c r="N53" s="94"/>
      <c r="O53" s="101"/>
      <c r="P53" s="94"/>
      <c r="Q53" s="94"/>
      <c r="R53" s="94"/>
      <c r="S53" s="94"/>
      <c r="T53" s="94"/>
      <c r="U53" s="95"/>
    </row>
    <row r="54" spans="5:21">
      <c r="E54" s="102"/>
      <c r="F54" s="103"/>
      <c r="G54" s="103"/>
      <c r="H54" s="103"/>
      <c r="I54" s="103"/>
      <c r="J54" s="103"/>
      <c r="K54" s="103"/>
      <c r="L54" s="103"/>
      <c r="M54" s="103"/>
      <c r="N54" s="103"/>
      <c r="O54" s="103"/>
      <c r="P54" s="103"/>
      <c r="Q54" s="103"/>
      <c r="R54" s="103"/>
      <c r="S54" s="103"/>
      <c r="T54" s="103"/>
      <c r="U54" s="96"/>
    </row>
    <row r="56" spans="5:21">
      <c r="E56" s="64" t="s">
        <v>235</v>
      </c>
    </row>
    <row r="57" spans="5:21">
      <c r="E57" s="64" t="s">
        <v>234</v>
      </c>
    </row>
    <row r="58" spans="5:21">
      <c r="E58" s="104" t="s">
        <v>233</v>
      </c>
      <c r="F58" s="105"/>
      <c r="G58" s="105" t="s">
        <v>217</v>
      </c>
      <c r="H58" s="105"/>
      <c r="I58" s="105"/>
      <c r="J58" s="105"/>
      <c r="K58" s="105"/>
      <c r="L58" s="105"/>
      <c r="M58" s="105"/>
      <c r="N58" s="105"/>
      <c r="O58" s="105" t="s">
        <v>229</v>
      </c>
      <c r="P58" s="105"/>
      <c r="Q58" s="105"/>
      <c r="R58" s="105"/>
      <c r="S58" s="105"/>
      <c r="T58" s="105"/>
      <c r="U58" s="106"/>
    </row>
    <row r="59" spans="5:21">
      <c r="E59" s="107"/>
      <c r="F59" s="108"/>
      <c r="G59" s="108"/>
      <c r="H59" s="108"/>
      <c r="I59" s="108"/>
      <c r="J59" s="108"/>
      <c r="K59" s="108"/>
      <c r="L59" s="108"/>
      <c r="M59" s="108"/>
      <c r="N59" s="108"/>
      <c r="O59" s="108"/>
      <c r="P59" s="108"/>
      <c r="Q59" s="108"/>
      <c r="R59" s="108"/>
      <c r="S59" s="108"/>
      <c r="T59" s="108"/>
      <c r="U59" s="109"/>
    </row>
    <row r="60" spans="5:21">
      <c r="E60" s="107"/>
      <c r="F60" s="108"/>
      <c r="G60" s="42" t="s">
        <v>218</v>
      </c>
      <c r="H60" s="48" t="s">
        <v>219</v>
      </c>
      <c r="I60" s="48" t="s">
        <v>220</v>
      </c>
      <c r="J60" s="48" t="s">
        <v>221</v>
      </c>
      <c r="K60" s="48" t="s">
        <v>222</v>
      </c>
      <c r="L60" s="48" t="s">
        <v>223</v>
      </c>
      <c r="M60" s="108"/>
      <c r="N60" s="108"/>
      <c r="O60" s="42" t="s">
        <v>218</v>
      </c>
      <c r="P60" s="48" t="s">
        <v>219</v>
      </c>
      <c r="Q60" s="48" t="s">
        <v>220</v>
      </c>
      <c r="R60" s="48" t="s">
        <v>221</v>
      </c>
      <c r="S60" s="48" t="s">
        <v>222</v>
      </c>
      <c r="T60" s="48" t="s">
        <v>223</v>
      </c>
      <c r="U60" s="109"/>
    </row>
    <row r="61" spans="5:21">
      <c r="E61" s="107"/>
      <c r="F61" s="108"/>
      <c r="G61" s="106"/>
      <c r="H61" s="110"/>
      <c r="I61" s="110"/>
      <c r="J61" s="110"/>
      <c r="K61" s="110"/>
      <c r="L61" s="104"/>
      <c r="M61" s="108"/>
      <c r="N61" s="108"/>
      <c r="O61" s="106"/>
      <c r="P61" s="110"/>
      <c r="Q61" s="110"/>
      <c r="R61" s="110"/>
      <c r="S61" s="110"/>
      <c r="T61" s="104"/>
      <c r="U61" s="109"/>
    </row>
    <row r="62" spans="5:21">
      <c r="E62" s="107"/>
      <c r="F62" s="108" t="s">
        <v>224</v>
      </c>
      <c r="G62" s="108"/>
      <c r="H62" s="108">
        <f>+H45</f>
        <v>800</v>
      </c>
      <c r="I62" s="108"/>
      <c r="J62" s="108"/>
      <c r="K62" s="108"/>
      <c r="L62" s="108"/>
      <c r="M62" s="108"/>
      <c r="N62" s="108"/>
      <c r="O62" s="108"/>
      <c r="P62" s="108"/>
      <c r="Q62" s="108"/>
      <c r="R62" s="108"/>
      <c r="S62" s="108"/>
      <c r="T62" s="108"/>
      <c r="U62" s="109"/>
    </row>
    <row r="63" spans="5:21">
      <c r="E63" s="107"/>
      <c r="F63" s="108" t="s">
        <v>225</v>
      </c>
      <c r="G63" s="108"/>
      <c r="H63" s="108">
        <f>+H46</f>
        <v>4200.0000000000045</v>
      </c>
      <c r="I63" s="94"/>
      <c r="J63" s="94"/>
      <c r="K63" s="94"/>
      <c r="L63" s="94"/>
      <c r="M63" s="108"/>
      <c r="N63" s="108" t="s">
        <v>225</v>
      </c>
      <c r="O63" s="108"/>
      <c r="P63" s="108">
        <f>+P46</f>
        <v>3245</v>
      </c>
      <c r="Q63" s="94"/>
      <c r="R63" s="94"/>
      <c r="S63" s="94"/>
      <c r="T63" s="94"/>
      <c r="U63" s="109"/>
    </row>
    <row r="64" spans="5:21">
      <c r="E64" s="107"/>
      <c r="F64" s="108" t="s">
        <v>226</v>
      </c>
      <c r="G64" s="108">
        <f>+G47</f>
        <v>15000</v>
      </c>
      <c r="H64" s="108"/>
      <c r="I64" s="108"/>
      <c r="J64" s="108"/>
      <c r="K64" s="108"/>
      <c r="L64" s="108"/>
      <c r="M64" s="108"/>
      <c r="N64" s="108" t="s">
        <v>226</v>
      </c>
      <c r="O64" s="108"/>
      <c r="P64" s="108">
        <f>+P47</f>
        <v>15000</v>
      </c>
      <c r="Q64" s="108"/>
      <c r="R64" s="108"/>
      <c r="S64" s="108"/>
      <c r="T64" s="108"/>
      <c r="U64" s="109"/>
    </row>
    <row r="65" spans="1:21">
      <c r="E65" s="107"/>
      <c r="F65" s="108"/>
      <c r="G65" s="108"/>
      <c r="H65" s="108"/>
      <c r="I65" s="108"/>
      <c r="J65" s="108"/>
      <c r="K65" s="108"/>
      <c r="L65" s="108"/>
      <c r="M65" s="108"/>
      <c r="N65" s="108"/>
      <c r="O65" s="108"/>
      <c r="P65" s="108"/>
      <c r="Q65" s="108"/>
      <c r="R65" s="108"/>
      <c r="S65" s="108"/>
      <c r="T65" s="108"/>
      <c r="U65" s="109"/>
    </row>
    <row r="66" spans="1:21">
      <c r="E66" s="107"/>
      <c r="F66" s="108" t="s">
        <v>176</v>
      </c>
      <c r="G66" s="108">
        <v>1</v>
      </c>
      <c r="H66" s="111">
        <v>0.95</v>
      </c>
      <c r="I66" s="111">
        <v>0.91</v>
      </c>
      <c r="J66" s="111">
        <v>0.86</v>
      </c>
      <c r="K66" s="111">
        <v>0.82</v>
      </c>
      <c r="L66" s="111">
        <v>0.78</v>
      </c>
      <c r="M66" s="108"/>
      <c r="N66" s="108" t="s">
        <v>176</v>
      </c>
      <c r="O66" s="108">
        <v>1</v>
      </c>
      <c r="P66" s="111">
        <v>0.95</v>
      </c>
      <c r="Q66" s="111">
        <v>0.91</v>
      </c>
      <c r="R66" s="111">
        <v>0.86</v>
      </c>
      <c r="S66" s="111">
        <v>0.82</v>
      </c>
      <c r="T66" s="111">
        <v>0.78</v>
      </c>
      <c r="U66" s="109"/>
    </row>
    <row r="67" spans="1:21">
      <c r="E67" s="107"/>
      <c r="F67" s="108" t="s">
        <v>227</v>
      </c>
      <c r="G67" s="108">
        <f>-G64*G66</f>
        <v>-15000</v>
      </c>
      <c r="H67" s="108">
        <f>+SUM(H62:H63)*H66</f>
        <v>4750.0000000000045</v>
      </c>
      <c r="I67" s="94">
        <f t="shared" ref="I67:L67" si="4">+SUM(I62:I63)*I66</f>
        <v>0</v>
      </c>
      <c r="J67" s="94">
        <f t="shared" si="4"/>
        <v>0</v>
      </c>
      <c r="K67" s="94">
        <f t="shared" si="4"/>
        <v>0</v>
      </c>
      <c r="L67" s="94">
        <f t="shared" si="4"/>
        <v>0</v>
      </c>
      <c r="M67" s="108"/>
      <c r="N67" s="108" t="s">
        <v>227</v>
      </c>
      <c r="O67" s="108">
        <f>-O64*O66</f>
        <v>0</v>
      </c>
      <c r="P67" s="108">
        <f>(P63-P64)*P66</f>
        <v>-11167.25</v>
      </c>
      <c r="Q67" s="94">
        <f t="shared" ref="Q67:T67" si="5">(Q63-Q64)*Q66</f>
        <v>0</v>
      </c>
      <c r="R67" s="94">
        <f t="shared" si="5"/>
        <v>0</v>
      </c>
      <c r="S67" s="94">
        <f t="shared" si="5"/>
        <v>0</v>
      </c>
      <c r="T67" s="94">
        <f t="shared" si="5"/>
        <v>0</v>
      </c>
      <c r="U67" s="109"/>
    </row>
    <row r="68" spans="1:21">
      <c r="E68" s="107"/>
      <c r="F68" s="108" t="s">
        <v>177</v>
      </c>
      <c r="G68" s="108">
        <f>+SUM(G67:L67)</f>
        <v>-10249.999999999996</v>
      </c>
      <c r="H68" s="108"/>
      <c r="I68" s="108"/>
      <c r="J68" s="108"/>
      <c r="K68" s="108"/>
      <c r="L68" s="108"/>
      <c r="M68" s="108"/>
      <c r="N68" s="108" t="s">
        <v>177</v>
      </c>
      <c r="O68" s="108">
        <f>+SUM(O67:T67)</f>
        <v>-11167.25</v>
      </c>
      <c r="P68" s="108"/>
      <c r="Q68" s="108"/>
      <c r="R68" s="108"/>
      <c r="S68" s="108"/>
      <c r="T68" s="108"/>
      <c r="U68" s="109"/>
    </row>
    <row r="69" spans="1:21">
      <c r="E69" s="107"/>
      <c r="F69" s="108"/>
      <c r="G69" s="108"/>
      <c r="H69" s="108"/>
      <c r="I69" s="108"/>
      <c r="J69" s="108"/>
      <c r="K69" s="108"/>
      <c r="L69" s="108"/>
      <c r="M69" s="108"/>
      <c r="N69" s="108"/>
      <c r="O69" s="108"/>
      <c r="P69" s="108"/>
      <c r="Q69" s="108"/>
      <c r="R69" s="108"/>
      <c r="S69" s="108"/>
      <c r="T69" s="108"/>
      <c r="U69" s="109"/>
    </row>
    <row r="70" spans="1:21">
      <c r="E70" s="107"/>
      <c r="F70" s="112" t="s">
        <v>230</v>
      </c>
      <c r="G70" s="89">
        <f>+G68-O68</f>
        <v>917.25000000000364</v>
      </c>
      <c r="H70" s="108" t="s">
        <v>231</v>
      </c>
      <c r="I70" s="108"/>
      <c r="J70" s="108"/>
      <c r="K70" s="108"/>
      <c r="L70" s="108"/>
      <c r="M70" s="108"/>
      <c r="N70" s="108"/>
      <c r="O70" s="113"/>
      <c r="P70" s="108"/>
      <c r="Q70" s="108"/>
      <c r="R70" s="108"/>
      <c r="S70" s="108"/>
      <c r="T70" s="108"/>
      <c r="U70" s="109"/>
    </row>
    <row r="71" spans="1:21">
      <c r="E71" s="114"/>
      <c r="F71" s="61"/>
      <c r="G71" s="61"/>
      <c r="H71" s="61"/>
      <c r="I71" s="61"/>
      <c r="J71" s="61"/>
      <c r="K71" s="61"/>
      <c r="L71" s="61"/>
      <c r="M71" s="61"/>
      <c r="N71" s="61"/>
      <c r="O71" s="61"/>
      <c r="P71" s="61"/>
      <c r="Q71" s="61"/>
      <c r="R71" s="61"/>
      <c r="S71" s="61"/>
      <c r="T71" s="61"/>
      <c r="U71" s="42"/>
    </row>
    <row r="74" spans="1:21" ht="18" customHeight="1">
      <c r="A74" s="13" t="s">
        <v>236</v>
      </c>
      <c r="B74" s="14"/>
      <c r="C74" s="14"/>
      <c r="D74" s="14"/>
      <c r="E74" s="14"/>
      <c r="F74" s="14"/>
      <c r="G74" s="14"/>
      <c r="H74" s="14"/>
      <c r="I74" s="14"/>
      <c r="J74" s="14"/>
      <c r="K74" s="14"/>
      <c r="L74" s="14"/>
      <c r="M74" s="14"/>
      <c r="N74" s="14"/>
      <c r="O74" s="14"/>
      <c r="P74" s="14"/>
      <c r="Q74" s="14"/>
      <c r="R74" s="14"/>
      <c r="S74" s="14"/>
      <c r="T74" s="15"/>
    </row>
    <row r="75" spans="1:21">
      <c r="A75" s="16" t="s">
        <v>237</v>
      </c>
      <c r="B75" s="17"/>
      <c r="C75" s="17"/>
      <c r="D75" s="17"/>
      <c r="E75" s="17"/>
      <c r="F75" s="17"/>
      <c r="G75" s="17"/>
      <c r="H75" s="17"/>
      <c r="I75" s="17"/>
      <c r="J75" s="17"/>
      <c r="K75" s="17"/>
      <c r="L75" s="17"/>
      <c r="M75" s="17"/>
      <c r="N75" s="17"/>
      <c r="O75" s="17"/>
      <c r="P75" s="17"/>
      <c r="Q75" s="17"/>
      <c r="R75" s="17"/>
      <c r="S75" s="17"/>
      <c r="T75" s="18"/>
    </row>
    <row r="76" spans="1:21">
      <c r="A76" s="16"/>
      <c r="B76" s="17"/>
      <c r="C76" s="17"/>
      <c r="D76" s="17"/>
      <c r="E76" s="17"/>
      <c r="F76" s="17"/>
      <c r="G76" s="17"/>
      <c r="H76" s="17"/>
      <c r="I76" s="17"/>
      <c r="J76" s="17"/>
      <c r="K76" s="17"/>
      <c r="L76" s="17"/>
      <c r="M76" s="17"/>
      <c r="N76" s="17"/>
      <c r="O76" s="17"/>
      <c r="P76" s="17"/>
      <c r="Q76" s="17"/>
      <c r="R76" s="17"/>
      <c r="S76" s="17"/>
      <c r="T76" s="18"/>
    </row>
    <row r="77" spans="1:21">
      <c r="A77" s="19"/>
      <c r="B77" s="20"/>
      <c r="C77" s="20"/>
      <c r="D77" s="20"/>
      <c r="E77" s="20"/>
      <c r="F77" s="20"/>
      <c r="G77" s="20"/>
      <c r="H77" s="20"/>
      <c r="I77" s="20"/>
      <c r="J77" s="20"/>
      <c r="K77" s="20"/>
      <c r="L77" s="20"/>
      <c r="M77" s="20"/>
      <c r="N77" s="20"/>
      <c r="O77" s="20"/>
      <c r="P77" s="20"/>
      <c r="Q77" s="20"/>
      <c r="R77" s="20"/>
      <c r="S77" s="20"/>
      <c r="T77" s="21"/>
    </row>
    <row r="80" spans="1:21">
      <c r="A80" s="4" t="s">
        <v>238</v>
      </c>
    </row>
    <row r="81" spans="1:10">
      <c r="D81" s="4" t="s">
        <v>243</v>
      </c>
      <c r="F81" s="4" t="s">
        <v>244</v>
      </c>
      <c r="H81" s="4" t="s">
        <v>245</v>
      </c>
    </row>
    <row r="82" spans="1:10">
      <c r="B82" s="4" t="s">
        <v>239</v>
      </c>
      <c r="D82" s="4">
        <v>5300</v>
      </c>
      <c r="F82" s="4">
        <v>5000</v>
      </c>
      <c r="H82" s="4">
        <v>5500</v>
      </c>
    </row>
    <row r="83" spans="1:10">
      <c r="B83" s="4" t="s">
        <v>256</v>
      </c>
      <c r="D83" s="4">
        <v>1500</v>
      </c>
      <c r="F83" s="4">
        <v>1400</v>
      </c>
      <c r="H83" s="4">
        <v>1650</v>
      </c>
    </row>
    <row r="84" spans="1:10">
      <c r="B84" s="4" t="s">
        <v>255</v>
      </c>
      <c r="D84" s="4">
        <f>+D82-D83</f>
        <v>3800</v>
      </c>
      <c r="F84" s="4">
        <f>+F82-F83</f>
        <v>3600</v>
      </c>
      <c r="H84" s="4">
        <f>+H82-H83</f>
        <v>3850</v>
      </c>
    </row>
    <row r="85" spans="1:10">
      <c r="A85" s="4" t="s">
        <v>261</v>
      </c>
      <c r="B85" s="4" t="s">
        <v>240</v>
      </c>
      <c r="D85" s="115">
        <f>+D84/D82</f>
        <v>0.71698113207547165</v>
      </c>
      <c r="F85" s="115">
        <f>+F84/F82</f>
        <v>0.72</v>
      </c>
      <c r="H85" s="115">
        <f>+H84/H82</f>
        <v>0.7</v>
      </c>
    </row>
    <row r="89" spans="1:10">
      <c r="B89" s="4" t="s">
        <v>241</v>
      </c>
      <c r="D89" s="87">
        <v>0.4</v>
      </c>
      <c r="F89" s="87">
        <v>0.6</v>
      </c>
      <c r="H89" s="87">
        <v>0.5</v>
      </c>
    </row>
    <row r="90" spans="1:10">
      <c r="B90" s="4" t="s">
        <v>242</v>
      </c>
      <c r="D90" s="4">
        <f>+D84/D89</f>
        <v>9500</v>
      </c>
      <c r="F90" s="4">
        <f>+F84/F89</f>
        <v>6000</v>
      </c>
      <c r="H90" s="4">
        <f>+H84/H89</f>
        <v>7700</v>
      </c>
    </row>
    <row r="91" spans="1:10">
      <c r="B91" s="4" t="s">
        <v>247</v>
      </c>
      <c r="D91" s="4">
        <v>10000</v>
      </c>
      <c r="F91" s="4">
        <v>8000</v>
      </c>
      <c r="H91" s="4">
        <v>4000</v>
      </c>
    </row>
    <row r="93" spans="1:10">
      <c r="B93" s="90" t="s">
        <v>246</v>
      </c>
      <c r="C93" s="91"/>
      <c r="D93" s="91" t="s">
        <v>248</v>
      </c>
      <c r="E93" s="91"/>
      <c r="F93" s="91" t="s">
        <v>250</v>
      </c>
      <c r="G93" s="91"/>
      <c r="H93" s="91" t="s">
        <v>249</v>
      </c>
      <c r="I93" s="91"/>
      <c r="J93" s="92"/>
    </row>
    <row r="94" spans="1:10">
      <c r="B94" s="93" t="s">
        <v>251</v>
      </c>
      <c r="C94" s="94"/>
      <c r="D94" s="108">
        <v>10000</v>
      </c>
      <c r="E94" s="94"/>
      <c r="F94" s="108">
        <f>+F95/F89</f>
        <v>6000</v>
      </c>
      <c r="G94" s="94"/>
      <c r="H94" s="108">
        <v>4000</v>
      </c>
      <c r="I94" s="94" t="s">
        <v>259</v>
      </c>
      <c r="J94" s="95"/>
    </row>
    <row r="95" spans="1:10">
      <c r="B95" s="93" t="s">
        <v>252</v>
      </c>
      <c r="C95" s="94"/>
      <c r="D95" s="94">
        <f>+D94*D89</f>
        <v>4000</v>
      </c>
      <c r="E95" s="94"/>
      <c r="F95" s="94">
        <f>+J95-D95-H95</f>
        <v>3600</v>
      </c>
      <c r="G95" s="94"/>
      <c r="H95" s="94">
        <f>+H94*H89</f>
        <v>2000</v>
      </c>
      <c r="I95" s="94" t="s">
        <v>253</v>
      </c>
      <c r="J95" s="95">
        <v>9600</v>
      </c>
    </row>
    <row r="96" spans="1:10">
      <c r="B96" s="93" t="s">
        <v>257</v>
      </c>
      <c r="C96" s="94"/>
      <c r="D96" s="94">
        <f>+D94*D84</f>
        <v>38000000</v>
      </c>
      <c r="E96" s="94"/>
      <c r="F96" s="94">
        <f>+F94*F84</f>
        <v>21600000</v>
      </c>
      <c r="G96" s="94"/>
      <c r="H96" s="94">
        <f>+H94*H84</f>
        <v>15400000</v>
      </c>
      <c r="I96" s="94"/>
      <c r="J96" s="95"/>
    </row>
    <row r="97" spans="1:12">
      <c r="B97" s="93" t="s">
        <v>254</v>
      </c>
      <c r="C97" s="94"/>
      <c r="D97" s="94">
        <v>18000000</v>
      </c>
      <c r="E97" s="94"/>
      <c r="F97" s="94">
        <v>17000000</v>
      </c>
      <c r="G97" s="94"/>
      <c r="H97" s="94">
        <v>17000000</v>
      </c>
      <c r="I97" s="94"/>
      <c r="J97" s="95"/>
    </row>
    <row r="98" spans="1:12">
      <c r="B98" s="102" t="s">
        <v>258</v>
      </c>
      <c r="C98" s="103"/>
      <c r="D98" s="103">
        <f>+D96-D97</f>
        <v>20000000</v>
      </c>
      <c r="E98" s="103"/>
      <c r="F98" s="103">
        <f>+F96-F97</f>
        <v>4600000</v>
      </c>
      <c r="G98" s="103"/>
      <c r="H98" s="103">
        <f>+H96-H97</f>
        <v>-1600000</v>
      </c>
      <c r="I98" s="103"/>
      <c r="J98" s="96"/>
    </row>
    <row r="101" spans="1:12">
      <c r="B101" s="104" t="s">
        <v>246</v>
      </c>
      <c r="C101" s="105"/>
      <c r="D101" s="105" t="s">
        <v>248</v>
      </c>
      <c r="E101" s="105"/>
      <c r="F101" s="105" t="s">
        <v>260</v>
      </c>
      <c r="G101" s="105"/>
      <c r="H101" s="105" t="s">
        <v>262</v>
      </c>
      <c r="I101" s="105"/>
      <c r="J101" s="106"/>
    </row>
    <row r="102" spans="1:12">
      <c r="A102" s="4" t="s">
        <v>263</v>
      </c>
      <c r="B102" s="107" t="s">
        <v>251</v>
      </c>
      <c r="C102" s="108"/>
      <c r="D102" s="116">
        <v>10000</v>
      </c>
      <c r="E102" s="108"/>
      <c r="F102" s="116">
        <v>8000</v>
      </c>
      <c r="G102" s="108"/>
      <c r="H102" s="116">
        <v>0</v>
      </c>
      <c r="I102" s="108"/>
      <c r="J102" s="109"/>
    </row>
    <row r="103" spans="1:12">
      <c r="B103" s="107" t="s">
        <v>252</v>
      </c>
      <c r="C103" s="108"/>
      <c r="D103" s="108">
        <f>+D102*D89</f>
        <v>4000</v>
      </c>
      <c r="E103" s="108"/>
      <c r="F103" s="108">
        <f>+F102*F89</f>
        <v>4800</v>
      </c>
      <c r="G103" s="108"/>
      <c r="H103" s="108">
        <f>+H102*H97</f>
        <v>0</v>
      </c>
      <c r="I103" s="108" t="s">
        <v>253</v>
      </c>
      <c r="J103" s="109">
        <f>+D103+F103</f>
        <v>8800</v>
      </c>
    </row>
    <row r="104" spans="1:12">
      <c r="B104" s="107" t="s">
        <v>257</v>
      </c>
      <c r="C104" s="108"/>
      <c r="D104" s="108">
        <f>+D102*D84</f>
        <v>38000000</v>
      </c>
      <c r="E104" s="108"/>
      <c r="F104" s="108">
        <f>+F102*F84</f>
        <v>28800000</v>
      </c>
      <c r="G104" s="108"/>
      <c r="H104" s="108">
        <f>+H102*H92</f>
        <v>0</v>
      </c>
      <c r="I104" s="108"/>
      <c r="J104" s="109"/>
    </row>
    <row r="105" spans="1:12">
      <c r="B105" s="107" t="s">
        <v>254</v>
      </c>
      <c r="C105" s="108"/>
      <c r="D105" s="108">
        <v>18000000</v>
      </c>
      <c r="E105" s="108"/>
      <c r="F105" s="108">
        <v>17000000</v>
      </c>
      <c r="G105" s="108"/>
      <c r="H105" s="108"/>
      <c r="I105" s="108"/>
      <c r="J105" s="109"/>
      <c r="L105" s="4" t="s">
        <v>269</v>
      </c>
    </row>
    <row r="106" spans="1:12">
      <c r="B106" s="114" t="s">
        <v>258</v>
      </c>
      <c r="C106" s="61"/>
      <c r="D106" s="61">
        <f>+D104-D105</f>
        <v>20000000</v>
      </c>
      <c r="E106" s="61"/>
      <c r="F106" s="61">
        <f>+F104-F105</f>
        <v>11800000</v>
      </c>
      <c r="G106" s="61"/>
      <c r="H106" s="61">
        <f>+H104-H105</f>
        <v>0</v>
      </c>
      <c r="I106" s="61"/>
      <c r="J106" s="42">
        <f>+SUM(D106:I106)</f>
        <v>31800000</v>
      </c>
      <c r="L106" s="4">
        <v>15000000</v>
      </c>
    </row>
    <row r="107" spans="1:12">
      <c r="B107" s="108" t="s">
        <v>268</v>
      </c>
      <c r="C107" s="108"/>
      <c r="D107" s="108"/>
      <c r="E107" s="108"/>
      <c r="F107" s="108"/>
      <c r="G107" s="108"/>
      <c r="H107" s="108"/>
      <c r="I107" s="108"/>
      <c r="J107" s="116">
        <f>+J106-L106</f>
        <v>16800000</v>
      </c>
    </row>
    <row r="109" spans="1:12">
      <c r="B109" s="90" t="s">
        <v>246</v>
      </c>
      <c r="C109" s="91"/>
      <c r="D109" s="91" t="s">
        <v>248</v>
      </c>
      <c r="E109" s="91"/>
      <c r="F109" s="91" t="s">
        <v>250</v>
      </c>
      <c r="G109" s="91"/>
      <c r="H109" s="91" t="s">
        <v>260</v>
      </c>
      <c r="I109" s="91"/>
      <c r="J109" s="92"/>
    </row>
    <row r="110" spans="1:12">
      <c r="B110" s="93" t="s">
        <v>266</v>
      </c>
      <c r="C110" s="94"/>
      <c r="D110" s="94">
        <f>+D91*1.1</f>
        <v>11000</v>
      </c>
      <c r="E110" s="94"/>
      <c r="F110" s="94"/>
      <c r="G110" s="94"/>
      <c r="H110" s="94">
        <f>+H91*1.25</f>
        <v>5000</v>
      </c>
      <c r="I110" s="94"/>
      <c r="J110" s="95"/>
    </row>
    <row r="111" spans="1:12">
      <c r="A111" s="4" t="s">
        <v>264</v>
      </c>
      <c r="B111" s="93" t="s">
        <v>251</v>
      </c>
      <c r="C111" s="94"/>
      <c r="D111" s="108">
        <f>+D110</f>
        <v>11000</v>
      </c>
      <c r="E111" s="94"/>
      <c r="F111" s="108">
        <f>+F112/F89</f>
        <v>4500</v>
      </c>
      <c r="G111" s="94"/>
      <c r="H111" s="108">
        <f>+H110</f>
        <v>5000</v>
      </c>
      <c r="I111" s="94" t="s">
        <v>267</v>
      </c>
      <c r="J111" s="95"/>
    </row>
    <row r="112" spans="1:12">
      <c r="B112" s="93" t="s">
        <v>252</v>
      </c>
      <c r="C112" s="94"/>
      <c r="D112" s="94">
        <f>+D111*D89</f>
        <v>4400</v>
      </c>
      <c r="E112" s="94"/>
      <c r="F112" s="94">
        <f>+J112-D112-H112</f>
        <v>2700</v>
      </c>
      <c r="G112" s="94"/>
      <c r="H112" s="94">
        <f>+H111*H89</f>
        <v>2500</v>
      </c>
      <c r="I112" s="94" t="s">
        <v>253</v>
      </c>
      <c r="J112" s="95">
        <v>9600</v>
      </c>
    </row>
    <row r="113" spans="2:12">
      <c r="B113" s="93" t="s">
        <v>257</v>
      </c>
      <c r="C113" s="94"/>
      <c r="D113" s="94">
        <f>+D111*D84</f>
        <v>41800000</v>
      </c>
      <c r="E113" s="94"/>
      <c r="F113" s="94">
        <f>+F111*F84</f>
        <v>16200000</v>
      </c>
      <c r="G113" s="94"/>
      <c r="H113" s="94">
        <f>+H111*H84</f>
        <v>19250000</v>
      </c>
      <c r="I113" s="94"/>
      <c r="J113" s="95"/>
    </row>
    <row r="114" spans="2:12">
      <c r="B114" s="93" t="s">
        <v>254</v>
      </c>
      <c r="C114" s="94"/>
      <c r="D114" s="94">
        <f>+D97+D117</f>
        <v>18500000</v>
      </c>
      <c r="E114" s="94"/>
      <c r="F114" s="94">
        <v>17000000</v>
      </c>
      <c r="G114" s="94"/>
      <c r="H114" s="94">
        <f>+H97+H117</f>
        <v>17500000</v>
      </c>
      <c r="I114" s="94"/>
      <c r="J114" s="95"/>
    </row>
    <row r="115" spans="2:12">
      <c r="B115" s="102" t="s">
        <v>258</v>
      </c>
      <c r="C115" s="103"/>
      <c r="D115" s="103">
        <f>+D113-D114</f>
        <v>23300000</v>
      </c>
      <c r="E115" s="103"/>
      <c r="F115" s="103">
        <f>+F113-F114</f>
        <v>-800000</v>
      </c>
      <c r="G115" s="103"/>
      <c r="H115" s="103">
        <f>+H113-H114</f>
        <v>1750000</v>
      </c>
      <c r="I115" s="103"/>
      <c r="J115" s="96"/>
    </row>
    <row r="117" spans="2:12">
      <c r="B117" s="4" t="s">
        <v>265</v>
      </c>
      <c r="D117" s="4">
        <v>500000</v>
      </c>
      <c r="H117" s="4">
        <v>500000</v>
      </c>
    </row>
    <row r="119" spans="2:12">
      <c r="B119" s="104" t="s">
        <v>246</v>
      </c>
      <c r="C119" s="105"/>
      <c r="D119" s="105" t="s">
        <v>248</v>
      </c>
      <c r="E119" s="105"/>
      <c r="F119" s="105" t="s">
        <v>250</v>
      </c>
      <c r="G119" s="105"/>
      <c r="H119" s="105" t="s">
        <v>260</v>
      </c>
      <c r="I119" s="105"/>
      <c r="J119" s="106"/>
    </row>
    <row r="120" spans="2:12">
      <c r="B120" s="107" t="s">
        <v>251</v>
      </c>
      <c r="C120" s="108"/>
      <c r="D120" s="116">
        <f>+D111</f>
        <v>11000</v>
      </c>
      <c r="E120" s="108"/>
      <c r="F120" s="116">
        <v>0</v>
      </c>
      <c r="G120" s="108"/>
      <c r="H120" s="116">
        <f>+H111</f>
        <v>5000</v>
      </c>
      <c r="I120" s="108" t="s">
        <v>267</v>
      </c>
      <c r="J120" s="109"/>
    </row>
    <row r="121" spans="2:12">
      <c r="B121" s="107" t="s">
        <v>252</v>
      </c>
      <c r="C121" s="108"/>
      <c r="D121" s="108">
        <f>+D120*D89</f>
        <v>4400</v>
      </c>
      <c r="E121" s="108"/>
      <c r="F121" s="108">
        <f>+F120*F89</f>
        <v>0</v>
      </c>
      <c r="G121" s="108"/>
      <c r="H121" s="108">
        <f>+H120*H89</f>
        <v>2500</v>
      </c>
      <c r="I121" s="108" t="s">
        <v>253</v>
      </c>
      <c r="J121" s="109">
        <f>+D121+H121</f>
        <v>6900</v>
      </c>
    </row>
    <row r="122" spans="2:12">
      <c r="B122" s="107" t="s">
        <v>257</v>
      </c>
      <c r="C122" s="108"/>
      <c r="D122" s="108">
        <f>+D120*D84</f>
        <v>41800000</v>
      </c>
      <c r="E122" s="108"/>
      <c r="F122" s="108">
        <f>+F120*F94</f>
        <v>0</v>
      </c>
      <c r="G122" s="108"/>
      <c r="H122" s="108">
        <f>+H120*H84</f>
        <v>19250000</v>
      </c>
      <c r="I122" s="108"/>
      <c r="J122" s="109"/>
    </row>
    <row r="123" spans="2:12">
      <c r="B123" s="107" t="s">
        <v>254</v>
      </c>
      <c r="C123" s="108"/>
      <c r="D123" s="108">
        <f>+D114</f>
        <v>18500000</v>
      </c>
      <c r="E123" s="108"/>
      <c r="F123" s="108">
        <v>0</v>
      </c>
      <c r="G123" s="108"/>
      <c r="H123" s="108">
        <f>+H114</f>
        <v>17500000</v>
      </c>
      <c r="I123" s="108"/>
      <c r="J123" s="109"/>
      <c r="L123" s="4" t="s">
        <v>269</v>
      </c>
    </row>
    <row r="124" spans="2:12">
      <c r="B124" s="114" t="s">
        <v>258</v>
      </c>
      <c r="C124" s="61"/>
      <c r="D124" s="61">
        <f>+D122-D123</f>
        <v>23300000</v>
      </c>
      <c r="E124" s="61"/>
      <c r="F124" s="61">
        <f>+F122-F123</f>
        <v>0</v>
      </c>
      <c r="G124" s="61"/>
      <c r="H124" s="61">
        <f>+H122-H123</f>
        <v>1750000</v>
      </c>
      <c r="I124" s="61"/>
      <c r="J124" s="42">
        <f>+SUM(D124:I124)</f>
        <v>25050000</v>
      </c>
      <c r="L124" s="4">
        <v>15000000</v>
      </c>
    </row>
    <row r="125" spans="2:12">
      <c r="B125" s="108" t="s">
        <v>268</v>
      </c>
      <c r="C125" s="108"/>
      <c r="D125" s="108"/>
      <c r="E125" s="108"/>
      <c r="F125" s="108"/>
      <c r="G125" s="108"/>
      <c r="H125" s="108"/>
      <c r="I125" s="108"/>
      <c r="J125" s="116">
        <f>+J124-L124</f>
        <v>10050000</v>
      </c>
    </row>
    <row r="126" spans="2:12">
      <c r="K126" s="4" t="s">
        <v>270</v>
      </c>
    </row>
    <row r="127" spans="2:12">
      <c r="K127" s="4" t="s">
        <v>271</v>
      </c>
    </row>
  </sheetData>
  <phoneticPr fontId="3"/>
  <pageMargins left="0.25" right="0.25"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CVP、NPV出題論点表</vt:lpstr>
      <vt:lpstr>R2</vt:lpstr>
      <vt:lpstr>R1</vt:lpstr>
      <vt:lpstr>記述系個別解説</vt:lpstr>
      <vt:lpstr>H30</vt:lpstr>
      <vt:lpstr>H29</vt:lpstr>
      <vt:lpstr>H28</vt:lpstr>
      <vt:lpstr>H27</vt:lpstr>
      <vt:lpstr>H26</vt:lpstr>
      <vt:lpstr>H25</vt:lpstr>
      <vt:lpstr>H24</vt:lpstr>
      <vt:lpstr>'R1'!Print_Area</vt:lpstr>
      <vt:lpstr>'R2'!Print_Area</vt:lpstr>
      <vt:lpstr>記述系個別解説!Print_Area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Tatsuo Fujisawa</cp:lastModifiedBy>
  <cp:lastPrinted>2019-11-15T06:39:24Z</cp:lastPrinted>
  <dcterms:created xsi:type="dcterms:W3CDTF">2017-05-14T05:18:00Z</dcterms:created>
  <dcterms:modified xsi:type="dcterms:W3CDTF">2020-10-25T12:06:58Z</dcterms:modified>
</cp:coreProperties>
</file>