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藤沢 達夫\Desktop\"/>
    </mc:Choice>
  </mc:AlternateContent>
  <bookViews>
    <workbookView xWindow="0" yWindow="0" windowWidth="19200" windowHeight="7365" xr2:uid="{00000000-000D-0000-FFFF-FFFF00000000}"/>
  </bookViews>
  <sheets>
    <sheet name="1 例題1" sheetId="1" r:id="rId1"/>
    <sheet name="1 問題1" sheetId="2" r:id="rId2"/>
    <sheet name="2例題１" sheetId="3" r:id="rId3"/>
    <sheet name="2例題2" sheetId="4" r:id="rId4"/>
    <sheet name="2_問題1" sheetId="5" r:id="rId5"/>
    <sheet name="2_問題2" sheetId="6" r:id="rId6"/>
    <sheet name="3 例題1" sheetId="12" r:id="rId7"/>
    <sheet name="3 例題2" sheetId="13" r:id="rId8"/>
    <sheet name="3 例題3" sheetId="14" r:id="rId9"/>
    <sheet name="3 問題1" sheetId="15" r:id="rId10"/>
    <sheet name="3 問題2" sheetId="16" r:id="rId11"/>
    <sheet name="4 例題1" sheetId="7" r:id="rId12"/>
    <sheet name="4 例題2" sheetId="8" r:id="rId13"/>
    <sheet name="4 例題3" sheetId="9" r:id="rId14"/>
    <sheet name="4 問題1" sheetId="10" r:id="rId15"/>
    <sheet name="4 問題3" sheetId="11" r:id="rId1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6" l="1"/>
  <c r="E46" i="16" s="1"/>
  <c r="E45" i="16"/>
  <c r="D45" i="16"/>
  <c r="D44" i="16"/>
  <c r="E44" i="16" s="1"/>
  <c r="E43" i="16"/>
  <c r="D43" i="16"/>
  <c r="C38" i="16"/>
  <c r="B38" i="16"/>
  <c r="E13" i="16"/>
  <c r="E15" i="16" s="1"/>
  <c r="C13" i="16"/>
  <c r="B13" i="16"/>
  <c r="E11" i="16"/>
  <c r="E54" i="15"/>
  <c r="B54" i="15"/>
  <c r="F52" i="15"/>
  <c r="E52" i="15"/>
  <c r="D52" i="15"/>
  <c r="C52" i="15"/>
  <c r="B52" i="15"/>
  <c r="E49" i="15"/>
  <c r="F41" i="15"/>
  <c r="F55" i="15" s="1"/>
  <c r="F40" i="15"/>
  <c r="F39" i="15"/>
  <c r="F38" i="15"/>
  <c r="E35" i="15"/>
  <c r="D35" i="15"/>
  <c r="D54" i="15" s="1"/>
  <c r="C35" i="15"/>
  <c r="C54" i="15" s="1"/>
  <c r="B35" i="15"/>
  <c r="B49" i="15" s="1"/>
  <c r="D31" i="15"/>
  <c r="C31" i="15"/>
  <c r="B31" i="15"/>
  <c r="D30" i="15"/>
  <c r="C30" i="15"/>
  <c r="B30" i="15"/>
  <c r="D29" i="15"/>
  <c r="C29" i="15"/>
  <c r="B29" i="15"/>
  <c r="D28" i="15"/>
  <c r="C28" i="15"/>
  <c r="B28" i="15"/>
  <c r="F27" i="15"/>
  <c r="D27" i="15"/>
  <c r="C27" i="15"/>
  <c r="B27" i="15"/>
  <c r="I21" i="15"/>
  <c r="I22" i="15" s="1"/>
  <c r="F18" i="15"/>
  <c r="F23" i="15" s="1"/>
  <c r="I20" i="15" s="1"/>
  <c r="G17" i="15"/>
  <c r="F17" i="15"/>
  <c r="D17" i="15"/>
  <c r="C17" i="15"/>
  <c r="B17" i="15"/>
  <c r="H11" i="15"/>
  <c r="F10" i="15"/>
  <c r="E21" i="13"/>
  <c r="D21" i="13"/>
  <c r="C21" i="13"/>
  <c r="B21" i="13"/>
  <c r="D17" i="13"/>
  <c r="C17" i="13"/>
  <c r="B17" i="13"/>
  <c r="D11" i="13"/>
  <c r="C11" i="13"/>
  <c r="B11" i="13"/>
  <c r="H18" i="12"/>
  <c r="H12" i="12"/>
  <c r="H11" i="12"/>
  <c r="F11" i="12"/>
  <c r="F12" i="12" s="1"/>
  <c r="F18" i="12" s="1"/>
  <c r="D11" i="12"/>
  <c r="C11" i="12"/>
  <c r="B11" i="12"/>
  <c r="H10" i="12"/>
  <c r="F10" i="12"/>
  <c r="H9" i="12"/>
  <c r="F9" i="12"/>
  <c r="H22" i="16" l="1"/>
  <c r="H18" i="16"/>
  <c r="F54" i="15"/>
  <c r="F56" i="15" s="1"/>
  <c r="C49" i="15"/>
  <c r="D49" i="15"/>
  <c r="F35" i="15"/>
  <c r="F36" i="15" s="1"/>
  <c r="I38" i="15" s="1"/>
  <c r="M14" i="11"/>
  <c r="F23" i="11" s="1"/>
  <c r="L11" i="11"/>
  <c r="D15" i="10"/>
  <c r="B15" i="10"/>
  <c r="C14" i="10"/>
  <c r="B14" i="10"/>
  <c r="C13" i="10"/>
  <c r="B13" i="10"/>
  <c r="C12" i="10"/>
  <c r="D11" i="10"/>
  <c r="D10" i="10"/>
  <c r="D34" i="8"/>
  <c r="D31" i="8"/>
  <c r="C31" i="8"/>
  <c r="H24" i="8"/>
  <c r="D24" i="8" s="1"/>
  <c r="H23" i="8"/>
  <c r="G20" i="8"/>
  <c r="D16" i="8"/>
  <c r="C16" i="8"/>
  <c r="D14" i="8"/>
  <c r="C14" i="8"/>
  <c r="B17" i="7"/>
  <c r="B16" i="7"/>
  <c r="B15" i="7"/>
  <c r="B14" i="7"/>
  <c r="L28" i="6"/>
  <c r="E23" i="6"/>
  <c r="I23" i="6" s="1"/>
  <c r="J23" i="6" s="1"/>
  <c r="D23" i="6"/>
  <c r="D22" i="6"/>
  <c r="E20" i="6"/>
  <c r="I20" i="6" s="1"/>
  <c r="D20" i="6"/>
  <c r="D19" i="6"/>
  <c r="E17" i="6"/>
  <c r="I17" i="6" s="1"/>
  <c r="J17" i="6" s="1"/>
  <c r="D17" i="6"/>
  <c r="D16" i="6"/>
  <c r="E13" i="6"/>
  <c r="E14" i="6" s="1"/>
  <c r="D12" i="6"/>
  <c r="D11" i="6"/>
  <c r="D10" i="6"/>
  <c r="D7" i="6"/>
  <c r="D49" i="5"/>
  <c r="C43" i="5"/>
  <c r="C42" i="5"/>
  <c r="F33" i="5"/>
  <c r="F30" i="5"/>
  <c r="E22" i="5"/>
  <c r="E18" i="5"/>
  <c r="H22" i="5" s="1"/>
  <c r="D16" i="5"/>
  <c r="E13" i="5"/>
  <c r="E14" i="5" s="1"/>
  <c r="D12" i="5"/>
  <c r="I11" i="5"/>
  <c r="D11" i="5"/>
  <c r="D10" i="5"/>
  <c r="E8" i="5"/>
  <c r="C23" i="4"/>
  <c r="D16" i="4"/>
  <c r="L15" i="4"/>
  <c r="I15" i="4"/>
  <c r="D15" i="4"/>
  <c r="H14" i="4"/>
  <c r="D12" i="4"/>
  <c r="I11" i="4"/>
  <c r="I12" i="4" s="1"/>
  <c r="H11" i="4"/>
  <c r="D11" i="4"/>
  <c r="H19" i="3"/>
  <c r="H18" i="3"/>
  <c r="I11" i="3"/>
  <c r="B34" i="15" l="1"/>
  <c r="E34" i="15"/>
  <c r="I39" i="15"/>
  <c r="C34" i="15"/>
  <c r="D34" i="15"/>
  <c r="H20" i="16"/>
  <c r="H19" i="16"/>
  <c r="H23" i="16"/>
  <c r="H24" i="16"/>
  <c r="E16" i="11"/>
  <c r="E20" i="11" s="1"/>
  <c r="D18" i="11"/>
  <c r="H18" i="11" s="1"/>
  <c r="C24" i="8"/>
  <c r="C16" i="11"/>
  <c r="C20" i="11" s="1"/>
  <c r="E19" i="5"/>
  <c r="H14" i="5"/>
  <c r="H45" i="5"/>
  <c r="L12" i="4"/>
  <c r="I16" i="4"/>
  <c r="G29" i="4" s="1"/>
  <c r="J20" i="6"/>
  <c r="L17" i="6"/>
  <c r="M17" i="6" s="1"/>
  <c r="M12" i="6" s="1"/>
  <c r="L20" i="6"/>
  <c r="M20" i="6" s="1"/>
  <c r="L23" i="6"/>
  <c r="M23" i="6" s="1"/>
  <c r="H18" i="5"/>
  <c r="G17" i="6"/>
  <c r="G20" i="6"/>
  <c r="G23" i="6"/>
  <c r="D20" i="11" l="1"/>
  <c r="D21" i="11" s="1"/>
  <c r="B30" i="5"/>
  <c r="D48" i="5"/>
  <c r="H49" i="5" s="1"/>
  <c r="D30" i="5"/>
  <c r="D33" i="5" s="1"/>
  <c r="G32" i="4"/>
  <c r="E23" i="4"/>
  <c r="G23" i="4" s="1"/>
  <c r="G26" i="4" s="1"/>
  <c r="E23" i="5"/>
  <c r="H19" i="5"/>
  <c r="H36" i="5" s="1"/>
  <c r="H38" i="5" s="1"/>
  <c r="H30" i="5" l="1"/>
  <c r="B33" i="5"/>
  <c r="H33" i="5" s="1"/>
  <c r="Q11" i="2" l="1"/>
  <c r="B24" i="2"/>
  <c r="B23" i="2"/>
  <c r="E25" i="2" l="1"/>
  <c r="H26" i="2" s="1"/>
  <c r="B20" i="2"/>
  <c r="H20" i="2" s="1"/>
  <c r="B19" i="2"/>
  <c r="Q16" i="2"/>
  <c r="L15" i="2"/>
  <c r="M16" i="2" s="1"/>
  <c r="Q15" i="2"/>
  <c r="L11" i="2"/>
  <c r="M7" i="2"/>
  <c r="R7" i="2" s="1"/>
  <c r="C23" i="1"/>
  <c r="E25" i="1" s="1"/>
  <c r="H27" i="1" s="1"/>
  <c r="L16" i="1"/>
  <c r="Q16" i="1" s="1"/>
  <c r="L15" i="1"/>
  <c r="Q15" i="1" s="1"/>
  <c r="Q14" i="1"/>
  <c r="H12" i="1"/>
  <c r="H7" i="1" s="1"/>
  <c r="B24" i="1" s="1"/>
  <c r="C11" i="1"/>
  <c r="Q9" i="1"/>
  <c r="L9" i="1"/>
  <c r="E8" i="1"/>
  <c r="C12" i="1" s="1"/>
  <c r="C8" i="1"/>
  <c r="M7" i="1"/>
  <c r="R7" i="1" s="1"/>
  <c r="H25" i="2" l="1"/>
  <c r="Q10" i="2" s="1"/>
  <c r="L10" i="2"/>
  <c r="H29" i="2"/>
  <c r="H13" i="1"/>
  <c r="H8" i="1" s="1"/>
  <c r="B25" i="1" s="1"/>
  <c r="H14" i="1"/>
  <c r="H19" i="2"/>
  <c r="L12" i="2"/>
  <c r="M12" i="2" s="1"/>
  <c r="M13" i="2" s="1"/>
  <c r="M17" i="2" s="1"/>
  <c r="H24" i="1"/>
  <c r="H19" i="1" s="1"/>
  <c r="Q10" i="1"/>
  <c r="R16" i="1"/>
  <c r="M16" i="1"/>
  <c r="R16" i="2"/>
  <c r="R11" i="2" l="1"/>
  <c r="R12" i="2" s="1"/>
  <c r="R17" i="2" s="1"/>
  <c r="H9" i="1"/>
  <c r="B26" i="1" s="1"/>
  <c r="H25" i="1"/>
  <c r="Q11" i="1" l="1"/>
  <c r="R11" i="1" s="1"/>
  <c r="R12" i="1" s="1"/>
  <c r="R17" i="1" s="1"/>
  <c r="H20" i="1"/>
  <c r="H21" i="1"/>
  <c r="H26" i="1"/>
  <c r="H29" i="1" s="1"/>
  <c r="L10" i="1"/>
  <c r="L11" i="1" l="1"/>
  <c r="M11" i="1" s="1"/>
  <c r="M12" i="1" s="1"/>
  <c r="M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00000000-0006-0000-0000-000001000000}">
      <text>
        <r>
          <rPr>
            <sz val="9"/>
            <color indexed="81"/>
            <rFont val="MS P ゴシック"/>
            <family val="3"/>
            <charset val="128"/>
          </rPr>
          <t>求め方1</t>
        </r>
      </text>
    </comment>
    <comment ref="H14" authorId="0" shapeId="0" xr:uid="{00000000-0006-0000-0000-000002000000}">
      <text>
        <r>
          <rPr>
            <sz val="9"/>
            <color indexed="81"/>
            <rFont val="MS P ゴシック"/>
            <family val="3"/>
            <charset val="128"/>
          </rPr>
          <t>求め方2</t>
        </r>
      </text>
    </comment>
    <comment ref="M17" authorId="0" shapeId="0" xr:uid="{00000000-0006-0000-0000-000003000000}">
      <text>
        <r>
          <rPr>
            <sz val="9"/>
            <color indexed="81"/>
            <rFont val="MS P ゴシック"/>
            <family val="3"/>
            <charset val="128"/>
          </rPr>
          <t>確認2</t>
        </r>
      </text>
    </comment>
    <comment ref="R17" authorId="0" shapeId="0" xr:uid="{00000000-0006-0000-0000-000004000000}">
      <text>
        <r>
          <rPr>
            <sz val="9"/>
            <color indexed="81"/>
            <rFont val="MS P ゴシック"/>
            <family val="3"/>
            <charset val="128"/>
          </rPr>
          <t>確認1</t>
        </r>
      </text>
    </comment>
    <comment ref="H26" authorId="0" shapeId="0" xr:uid="{00000000-0006-0000-0000-000005000000}">
      <text>
        <r>
          <rPr>
            <sz val="9"/>
            <color indexed="81"/>
            <rFont val="MS P ゴシック"/>
            <family val="3"/>
            <charset val="128"/>
          </rPr>
          <t>求め方2</t>
        </r>
      </text>
    </comment>
    <comment ref="H29" authorId="0" shapeId="0" xr:uid="{00000000-0006-0000-0000-000006000000}">
      <text>
        <r>
          <rPr>
            <sz val="9"/>
            <color indexed="81"/>
            <rFont val="MS P ゴシック"/>
            <family val="3"/>
            <charset val="128"/>
          </rPr>
          <t>求め方3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systemuser</author>
  </authors>
  <commentList>
    <comment ref="I21" authorId="0" shapeId="0" xr:uid="{82D8F2B3-FC89-4DDE-8F0D-18279112C08F}">
      <text>
        <r>
          <rPr>
            <sz val="9"/>
            <color indexed="81"/>
            <rFont val="ＭＳ Ｐゴシック"/>
            <family val="3"/>
            <charset val="128"/>
          </rPr>
          <t>求め方2
SBEP＝固定費÷限界利益率</t>
        </r>
      </text>
    </comment>
    <comment ref="I22" authorId="0" shapeId="0" xr:uid="{65FD8E92-4EAB-4E89-BE00-DDB4F75395CF}">
      <text>
        <r>
          <rPr>
            <sz val="9"/>
            <color indexed="81"/>
            <rFont val="ＭＳ Ｐゴシック"/>
            <family val="3"/>
            <charset val="128"/>
          </rPr>
          <t>求め方3
いつもの式で</t>
        </r>
      </text>
    </comment>
    <comment ref="F23" authorId="0" shapeId="0" xr:uid="{5B17AD09-82B0-4103-8D60-A4348042C1B1}">
      <text>
        <r>
          <rPr>
            <sz val="9"/>
            <color indexed="81"/>
            <rFont val="ＭＳ Ｐゴシック"/>
            <family val="3"/>
            <charset val="128"/>
          </rPr>
          <t>求め方1
組製品の限界利益を求め、次に固定費を引いて営業利益を出す</t>
        </r>
      </text>
    </comment>
    <comment ref="B27" authorId="0" shapeId="0" xr:uid="{486EBBC9-81CC-4CCF-A8C5-1828625FFD4B}">
      <text>
        <r>
          <rPr>
            <sz val="9"/>
            <color indexed="81"/>
            <rFont val="ＭＳ Ｐゴシック"/>
            <family val="3"/>
            <charset val="128"/>
          </rPr>
          <t>資料2の指示に従い、単価を変化させる</t>
        </r>
      </text>
    </comment>
    <comment ref="I38" authorId="0" shapeId="0" xr:uid="{E7212D84-8D9D-4FFD-8A99-50AB5483A2DE}">
      <text>
        <r>
          <rPr>
            <sz val="9"/>
            <color indexed="81"/>
            <rFont val="ＭＳ Ｐゴシック"/>
            <family val="3"/>
            <charset val="128"/>
          </rPr>
          <t>求め方1
組製品として、固定費÷限界利益率でセット数を求める
※電卓の時は端数が出ない様、計算に注意。</t>
        </r>
      </text>
    </comment>
    <comment ref="E49" authorId="0" shapeId="0" xr:uid="{E6ABE257-AFC7-4012-97DB-584E4F859255}">
      <text>
        <r>
          <rPr>
            <sz val="9"/>
            <color indexed="81"/>
            <rFont val="ＭＳ Ｐゴシック"/>
            <family val="3"/>
            <charset val="128"/>
          </rPr>
          <t>求め方
制約条件あたり限界利益を求める</t>
        </r>
      </text>
    </comment>
    <comment ref="C51" authorId="0" shapeId="0" xr:uid="{779FB9D0-C153-4A8B-8EF3-5E2FEA95F1AA}">
      <text>
        <r>
          <rPr>
            <sz val="9"/>
            <color indexed="81"/>
            <rFont val="ＭＳ Ｐゴシック"/>
            <family val="3"/>
            <charset val="128"/>
          </rPr>
          <t>4,000個作ればもうかるが、材料がもう足りない</t>
        </r>
      </text>
    </comment>
    <comment ref="E51" authorId="0" shapeId="0" xr:uid="{373668B5-0720-4CD1-98C1-6CCF35E5D990}">
      <text>
        <r>
          <rPr>
            <sz val="9"/>
            <color indexed="81"/>
            <rFont val="ＭＳ Ｐゴシック"/>
            <family val="3"/>
            <charset val="128"/>
          </rPr>
          <t>限界利益の単価の高い順に、ギリギリまで作る</t>
        </r>
      </text>
    </comment>
  </commentList>
</comments>
</file>

<file path=xl/sharedStrings.xml><?xml version="1.0" encoding="utf-8"?>
<sst xmlns="http://schemas.openxmlformats.org/spreadsheetml/2006/main" count="558" uniqueCount="304">
  <si>
    <t>イケカコ エクセル活躍学習法</t>
    <rPh sb="9" eb="11">
      <t>カツヤク</t>
    </rPh>
    <rPh sb="11" eb="14">
      <t>ガクシュウホウ</t>
    </rPh>
    <phoneticPr fontId="4"/>
  </si>
  <si>
    <t>Lecture 1 全部原価計算と個別原価計算</t>
    <rPh sb="10" eb="12">
      <t>ゼンブ</t>
    </rPh>
    <rPh sb="12" eb="14">
      <t>ゲンカ</t>
    </rPh>
    <rPh sb="14" eb="16">
      <t>ケイサン</t>
    </rPh>
    <rPh sb="17" eb="19">
      <t>コベツ</t>
    </rPh>
    <rPh sb="19" eb="21">
      <t>ゲンカ</t>
    </rPh>
    <rPh sb="21" eb="23">
      <t>ケイサン</t>
    </rPh>
    <phoneticPr fontId="4"/>
  </si>
  <si>
    <t>2限目 例題</t>
    <rPh sb="1" eb="3">
      <t>ゲンメ</t>
    </rPh>
    <rPh sb="4" eb="6">
      <t>レイダイ</t>
    </rPh>
    <phoneticPr fontId="4"/>
  </si>
  <si>
    <t>【全部原価計算】 固定加工費仕掛計算に入れる</t>
    <rPh sb="1" eb="3">
      <t>ゼンブ</t>
    </rPh>
    <rPh sb="3" eb="5">
      <t>ゲンカ</t>
    </rPh>
    <rPh sb="5" eb="7">
      <t>ケイサン</t>
    </rPh>
    <rPh sb="9" eb="11">
      <t>コテイ</t>
    </rPh>
    <rPh sb="11" eb="13">
      <t>カコウ</t>
    </rPh>
    <rPh sb="13" eb="14">
      <t>ヒ</t>
    </rPh>
    <rPh sb="14" eb="16">
      <t>シカカリ</t>
    </rPh>
    <rPh sb="16" eb="18">
      <t>ケイサン</t>
    </rPh>
    <rPh sb="19" eb="20">
      <t>イ</t>
    </rPh>
    <phoneticPr fontId="4"/>
  </si>
  <si>
    <t>仕掛計算後の按分原価</t>
    <rPh sb="0" eb="2">
      <t>シカカリ</t>
    </rPh>
    <rPh sb="2" eb="4">
      <t>ケイサン</t>
    </rPh>
    <rPh sb="4" eb="5">
      <t>ゴ</t>
    </rPh>
    <rPh sb="6" eb="8">
      <t>アンブン</t>
    </rPh>
    <rPh sb="8" eb="10">
      <t>ゲンカ</t>
    </rPh>
    <phoneticPr fontId="4"/>
  </si>
  <si>
    <t>【確認】</t>
    <rPh sb="1" eb="3">
      <t>カクニン</t>
    </rPh>
    <phoneticPr fontId="4"/>
  </si>
  <si>
    <t>PLを作成してみる</t>
    <rPh sb="3" eb="5">
      <t>サクセイ</t>
    </rPh>
    <phoneticPr fontId="4"/>
  </si>
  <si>
    <t>仕掛品</t>
    <rPh sb="0" eb="2">
      <t>シカカリ</t>
    </rPh>
    <rPh sb="2" eb="3">
      <t>ヒン</t>
    </rPh>
    <phoneticPr fontId="4"/>
  </si>
  <si>
    <t>【全部原価計算による】</t>
    <rPh sb="1" eb="3">
      <t>ゼンブ</t>
    </rPh>
    <rPh sb="3" eb="5">
      <t>ゲンカ</t>
    </rPh>
    <rPh sb="5" eb="7">
      <t>ケイサン</t>
    </rPh>
    <phoneticPr fontId="4"/>
  </si>
  <si>
    <t>【直接原価計算による】</t>
    <rPh sb="1" eb="3">
      <t>チョクセツ</t>
    </rPh>
    <rPh sb="3" eb="5">
      <t>ゲンカ</t>
    </rPh>
    <rPh sb="5" eb="7">
      <t>ケイサン</t>
    </rPh>
    <phoneticPr fontId="4"/>
  </si>
  <si>
    <t>期首仕掛</t>
    <rPh sb="0" eb="2">
      <t>キシュ</t>
    </rPh>
    <rPh sb="2" eb="4">
      <t>シカカリ</t>
    </rPh>
    <phoneticPr fontId="4"/>
  </si>
  <si>
    <t>当期完成</t>
    <rPh sb="0" eb="2">
      <t>トウキ</t>
    </rPh>
    <rPh sb="2" eb="4">
      <t>カンセイ</t>
    </rPh>
    <phoneticPr fontId="4"/>
  </si>
  <si>
    <t>Z</t>
    <phoneticPr fontId="4"/>
  </si>
  <si>
    <t>売上高</t>
    <rPh sb="0" eb="2">
      <t>ウリアゲ</t>
    </rPh>
    <rPh sb="2" eb="3">
      <t>ダカ</t>
    </rPh>
    <phoneticPr fontId="4"/>
  </si>
  <si>
    <t>VK</t>
    <phoneticPr fontId="4"/>
  </si>
  <si>
    <t>売上原価</t>
    <rPh sb="0" eb="2">
      <t>ウリアゲ</t>
    </rPh>
    <rPh sb="2" eb="4">
      <t>ゲンカ</t>
    </rPh>
    <phoneticPr fontId="4"/>
  </si>
  <si>
    <t>FK</t>
    <phoneticPr fontId="4"/>
  </si>
  <si>
    <t>期首製品棚卸高</t>
    <rPh sb="0" eb="2">
      <t>キシュ</t>
    </rPh>
    <rPh sb="2" eb="4">
      <t>セイヒン</t>
    </rPh>
    <rPh sb="4" eb="6">
      <t>タナオロシ</t>
    </rPh>
    <rPh sb="6" eb="7">
      <t>ダカ</t>
    </rPh>
    <phoneticPr fontId="4"/>
  </si>
  <si>
    <t>当期投入</t>
    <rPh sb="0" eb="2">
      <t>トウキ</t>
    </rPh>
    <rPh sb="2" eb="4">
      <t>トウニュウ</t>
    </rPh>
    <phoneticPr fontId="4"/>
  </si>
  <si>
    <t>当期製品製造原価</t>
    <rPh sb="0" eb="2">
      <t>トウキ</t>
    </rPh>
    <rPh sb="2" eb="4">
      <t>セイヒン</t>
    </rPh>
    <rPh sb="4" eb="6">
      <t>セイゾウ</t>
    </rPh>
    <rPh sb="6" eb="8">
      <t>ゲンカ</t>
    </rPh>
    <phoneticPr fontId="4"/>
  </si>
  <si>
    <t>期末製品棚卸高</t>
    <rPh sb="0" eb="2">
      <t>キマツ</t>
    </rPh>
    <rPh sb="2" eb="4">
      <t>セイヒン</t>
    </rPh>
    <rPh sb="4" eb="6">
      <t>タナオロシ</t>
    </rPh>
    <rPh sb="6" eb="7">
      <t>ダカ</t>
    </rPh>
    <phoneticPr fontId="4"/>
  </si>
  <si>
    <t>期末仕掛</t>
    <rPh sb="0" eb="2">
      <t>キマツ</t>
    </rPh>
    <rPh sb="2" eb="4">
      <t>シカカリ</t>
    </rPh>
    <phoneticPr fontId="4"/>
  </si>
  <si>
    <t>売上総利益</t>
    <rPh sb="0" eb="2">
      <t>ウリアゲ</t>
    </rPh>
    <rPh sb="2" eb="5">
      <t>ソウリエキ</t>
    </rPh>
    <phoneticPr fontId="4"/>
  </si>
  <si>
    <t>販管費等</t>
    <rPh sb="0" eb="3">
      <t>ハンカンヒ</t>
    </rPh>
    <rPh sb="3" eb="4">
      <t>トウ</t>
    </rPh>
    <phoneticPr fontId="4"/>
  </si>
  <si>
    <t>固定加工費</t>
    <rPh sb="0" eb="2">
      <t>コテイ</t>
    </rPh>
    <rPh sb="2" eb="5">
      <t>カコウヒ</t>
    </rPh>
    <phoneticPr fontId="4"/>
  </si>
  <si>
    <t>変動販売費</t>
    <rPh sb="0" eb="2">
      <t>ヘンドウ</t>
    </rPh>
    <rPh sb="2" eb="5">
      <t>ハンバイヒ</t>
    </rPh>
    <phoneticPr fontId="4"/>
  </si>
  <si>
    <t>固定販管費</t>
    <rPh sb="0" eb="2">
      <t>コテイ</t>
    </rPh>
    <rPh sb="2" eb="5">
      <t>ハンカンヒ</t>
    </rPh>
    <phoneticPr fontId="4"/>
  </si>
  <si>
    <t>製品</t>
    <rPh sb="0" eb="2">
      <t>セイヒン</t>
    </rPh>
    <phoneticPr fontId="4"/>
  </si>
  <si>
    <t>営業利益</t>
    <rPh sb="0" eb="2">
      <t>エイギョウ</t>
    </rPh>
    <rPh sb="2" eb="4">
      <t>リエキ</t>
    </rPh>
    <phoneticPr fontId="4"/>
  </si>
  <si>
    <t>期首製品</t>
    <rPh sb="0" eb="2">
      <t>キシュ</t>
    </rPh>
    <rPh sb="2" eb="4">
      <t>セイヒン</t>
    </rPh>
    <phoneticPr fontId="4"/>
  </si>
  <si>
    <t>当期販売</t>
    <rPh sb="0" eb="2">
      <t>トウキ</t>
    </rPh>
    <rPh sb="2" eb="4">
      <t>ハンバイ</t>
    </rPh>
    <phoneticPr fontId="4"/>
  </si>
  <si>
    <t>↑全部原価計算では、直接原価計算より8,400円利益が多く表示されている。</t>
    <rPh sb="1" eb="3">
      <t>ゼンブ</t>
    </rPh>
    <rPh sb="3" eb="5">
      <t>ゲンカ</t>
    </rPh>
    <rPh sb="5" eb="7">
      <t>ケイサン</t>
    </rPh>
    <rPh sb="10" eb="12">
      <t>チョクセツ</t>
    </rPh>
    <rPh sb="12" eb="14">
      <t>ゲンカ</t>
    </rPh>
    <rPh sb="14" eb="16">
      <t>ケイサン</t>
    </rPh>
    <rPh sb="23" eb="24">
      <t>エン</t>
    </rPh>
    <rPh sb="24" eb="26">
      <t>リエキ</t>
    </rPh>
    <rPh sb="27" eb="28">
      <t>オオ</t>
    </rPh>
    <rPh sb="29" eb="31">
      <t>ヒョウジ</t>
    </rPh>
    <phoneticPr fontId="4"/>
  </si>
  <si>
    <t>期末製品</t>
    <rPh sb="0" eb="2">
      <t>キマツ</t>
    </rPh>
    <rPh sb="2" eb="4">
      <t>セイヒン</t>
    </rPh>
    <phoneticPr fontId="4"/>
  </si>
  <si>
    <t>VS</t>
    <phoneticPr fontId="4"/>
  </si>
  <si>
    <t>固定費調整額＝期末-期首</t>
    <rPh sb="0" eb="2">
      <t>コテイ</t>
    </rPh>
    <rPh sb="2" eb="3">
      <t>ヒ</t>
    </rPh>
    <rPh sb="3" eb="5">
      <t>チョウセイ</t>
    </rPh>
    <rPh sb="5" eb="6">
      <t>ガク</t>
    </rPh>
    <rPh sb="7" eb="9">
      <t>キマツ</t>
    </rPh>
    <rPh sb="10" eb="12">
      <t>キシュ</t>
    </rPh>
    <phoneticPr fontId="4"/>
  </si>
  <si>
    <t>--</t>
    <phoneticPr fontId="4"/>
  </si>
  <si>
    <t>FS</t>
    <phoneticPr fontId="4"/>
  </si>
  <si>
    <t>外部報告に使う全部原価計算では、固定加工費も仕掛計算に含むため、</t>
    <rPh sb="0" eb="2">
      <t>ガイブ</t>
    </rPh>
    <rPh sb="2" eb="4">
      <t>ホウコク</t>
    </rPh>
    <rPh sb="5" eb="6">
      <t>ツカ</t>
    </rPh>
    <rPh sb="7" eb="9">
      <t>ゼンブ</t>
    </rPh>
    <rPh sb="9" eb="11">
      <t>ゲンカ</t>
    </rPh>
    <rPh sb="11" eb="13">
      <t>ケイサン</t>
    </rPh>
    <rPh sb="16" eb="18">
      <t>コテイ</t>
    </rPh>
    <rPh sb="18" eb="21">
      <t>カコウヒ</t>
    </rPh>
    <rPh sb="22" eb="24">
      <t>シカカリ</t>
    </rPh>
    <rPh sb="24" eb="26">
      <t>ケイサン</t>
    </rPh>
    <rPh sb="27" eb="28">
      <t>フク</t>
    </rPh>
    <phoneticPr fontId="4"/>
  </si>
  <si>
    <t>期末仕掛品、期末製品に固定費が吸収され、その分売上原価↓、営業利益↑となる。</t>
    <rPh sb="0" eb="2">
      <t>キマツ</t>
    </rPh>
    <rPh sb="2" eb="4">
      <t>シカカリ</t>
    </rPh>
    <rPh sb="4" eb="5">
      <t>ヒン</t>
    </rPh>
    <rPh sb="6" eb="8">
      <t>キマツ</t>
    </rPh>
    <rPh sb="8" eb="10">
      <t>セイヒン</t>
    </rPh>
    <rPh sb="11" eb="13">
      <t>コテイ</t>
    </rPh>
    <rPh sb="13" eb="14">
      <t>ヒ</t>
    </rPh>
    <rPh sb="15" eb="17">
      <t>キュウシュウ</t>
    </rPh>
    <rPh sb="22" eb="23">
      <t>ブン</t>
    </rPh>
    <rPh sb="23" eb="25">
      <t>ウリアゲ</t>
    </rPh>
    <rPh sb="25" eb="27">
      <t>ゲンカ</t>
    </rPh>
    <rPh sb="29" eb="31">
      <t>エイギョウ</t>
    </rPh>
    <rPh sb="31" eb="33">
      <t>リエキ</t>
    </rPh>
    <phoneticPr fontId="4"/>
  </si>
  <si>
    <t>Z・・材料費</t>
    <rPh sb="3" eb="6">
      <t>ザイリョウヒ</t>
    </rPh>
    <phoneticPr fontId="4"/>
  </si>
  <si>
    <t>この場合、期末在庫の多寡により販売量と当期営業利益の関係がいびつになるため、</t>
    <rPh sb="2" eb="4">
      <t>バアイ</t>
    </rPh>
    <rPh sb="5" eb="7">
      <t>キマツ</t>
    </rPh>
    <rPh sb="7" eb="9">
      <t>ザイコ</t>
    </rPh>
    <rPh sb="10" eb="12">
      <t>タカ</t>
    </rPh>
    <rPh sb="15" eb="17">
      <t>ハンバイ</t>
    </rPh>
    <rPh sb="17" eb="18">
      <t>リョウ</t>
    </rPh>
    <rPh sb="19" eb="21">
      <t>トウキ</t>
    </rPh>
    <rPh sb="21" eb="23">
      <t>エイギョウ</t>
    </rPh>
    <rPh sb="23" eb="25">
      <t>リエキ</t>
    </rPh>
    <rPh sb="26" eb="28">
      <t>カンケイ</t>
    </rPh>
    <phoneticPr fontId="4"/>
  </si>
  <si>
    <t>VK・・変動加工費</t>
    <rPh sb="4" eb="6">
      <t>ヘンドウ</t>
    </rPh>
    <rPh sb="6" eb="9">
      <t>カコウヒ</t>
    </rPh>
    <phoneticPr fontId="4"/>
  </si>
  <si>
    <t>｢固定費調整｣で修正して考える。</t>
    <rPh sb="1" eb="3">
      <t>コテイ</t>
    </rPh>
    <rPh sb="3" eb="4">
      <t>ヒ</t>
    </rPh>
    <rPh sb="4" eb="6">
      <t>チョウセイ</t>
    </rPh>
    <rPh sb="8" eb="10">
      <t>シュウセイ</t>
    </rPh>
    <rPh sb="12" eb="13">
      <t>カンガ</t>
    </rPh>
    <phoneticPr fontId="4"/>
  </si>
  <si>
    <t>FK・・固定加工費</t>
    <rPh sb="4" eb="6">
      <t>コテイ</t>
    </rPh>
    <rPh sb="6" eb="8">
      <t>カコウ</t>
    </rPh>
    <rPh sb="8" eb="9">
      <t>ヒ</t>
    </rPh>
    <phoneticPr fontId="4"/>
  </si>
  <si>
    <t>VS・・変動販売費</t>
    <rPh sb="4" eb="6">
      <t>ヘンドウ</t>
    </rPh>
    <rPh sb="6" eb="9">
      <t>ハンバイヒ</t>
    </rPh>
    <phoneticPr fontId="4"/>
  </si>
  <si>
    <t>※実務上の社内会計システムでは、直接原価計算で計算され、</t>
    <rPh sb="1" eb="3">
      <t>ジツム</t>
    </rPh>
    <rPh sb="3" eb="4">
      <t>ジョウ</t>
    </rPh>
    <rPh sb="5" eb="7">
      <t>シャナイ</t>
    </rPh>
    <rPh sb="7" eb="9">
      <t>カイケイ</t>
    </rPh>
    <rPh sb="16" eb="18">
      <t>チョクセツ</t>
    </rPh>
    <rPh sb="18" eb="20">
      <t>ゲンカ</t>
    </rPh>
    <rPh sb="20" eb="22">
      <t>ケイサン</t>
    </rPh>
    <rPh sb="23" eb="25">
      <t>ケイサン</t>
    </rPh>
    <phoneticPr fontId="4"/>
  </si>
  <si>
    <t>FS・・固定販管費</t>
    <rPh sb="4" eb="6">
      <t>コテイ</t>
    </rPh>
    <rPh sb="6" eb="9">
      <t>ハンカンヒ</t>
    </rPh>
    <phoneticPr fontId="4"/>
  </si>
  <si>
    <t>逆に固定費調整を行い外部報告用の全部原価計算のPLを作成する。</t>
    <rPh sb="0" eb="1">
      <t>ギャク</t>
    </rPh>
    <rPh sb="2" eb="4">
      <t>コテイ</t>
    </rPh>
    <rPh sb="4" eb="5">
      <t>ヒ</t>
    </rPh>
    <rPh sb="5" eb="7">
      <t>チョウセイ</t>
    </rPh>
    <rPh sb="8" eb="9">
      <t>オコナ</t>
    </rPh>
    <rPh sb="10" eb="12">
      <t>ガイブ</t>
    </rPh>
    <rPh sb="12" eb="15">
      <t>ホウコクヨウ</t>
    </rPh>
    <rPh sb="16" eb="18">
      <t>ゼンブ</t>
    </rPh>
    <rPh sb="18" eb="20">
      <t>ゲンカ</t>
    </rPh>
    <rPh sb="20" eb="22">
      <t>ケイサン</t>
    </rPh>
    <rPh sb="26" eb="28">
      <t>サクセイ</t>
    </rPh>
    <phoneticPr fontId="4"/>
  </si>
  <si>
    <t>3限目 問題1</t>
    <rPh sb="1" eb="3">
      <t>ゲンメ</t>
    </rPh>
    <rPh sb="4" eb="6">
      <t>モンダイ</t>
    </rPh>
    <phoneticPr fontId="4"/>
  </si>
  <si>
    <t>Z</t>
  </si>
  <si>
    <t>FK</t>
  </si>
  <si>
    <t>変動製造原価</t>
    <rPh sb="0" eb="2">
      <t>ヘンドウ</t>
    </rPh>
    <rPh sb="2" eb="4">
      <t>セイゾウ</t>
    </rPh>
    <rPh sb="4" eb="6">
      <t>ゲンカ</t>
    </rPh>
    <phoneticPr fontId="4"/>
  </si>
  <si>
    <t>限界利益</t>
    <rPh sb="0" eb="2">
      <t>ゲンカイ</t>
    </rPh>
    <rPh sb="2" eb="4">
      <t>リエキ</t>
    </rPh>
    <phoneticPr fontId="4"/>
  </si>
  <si>
    <t>Lecture 2 CVP分析(基礎) ～固変分解・損益分岐点売上高～</t>
    <rPh sb="13" eb="15">
      <t>ブンセキ</t>
    </rPh>
    <rPh sb="16" eb="18">
      <t>キソ</t>
    </rPh>
    <rPh sb="21" eb="22">
      <t>コ</t>
    </rPh>
    <rPh sb="22" eb="23">
      <t>ヘン</t>
    </rPh>
    <rPh sb="23" eb="25">
      <t>ブンカイ</t>
    </rPh>
    <rPh sb="26" eb="28">
      <t>ソンエキ</t>
    </rPh>
    <rPh sb="28" eb="31">
      <t>ブンキテン</t>
    </rPh>
    <rPh sb="31" eb="33">
      <t>ウリアゲ</t>
    </rPh>
    <rPh sb="33" eb="34">
      <t>ダカ</t>
    </rPh>
    <phoneticPr fontId="4"/>
  </si>
  <si>
    <t>2限目 例題1</t>
    <rPh sb="1" eb="3">
      <t>ゲンメ</t>
    </rPh>
    <rPh sb="4" eb="6">
      <t>レイダイ</t>
    </rPh>
    <phoneticPr fontId="4"/>
  </si>
  <si>
    <t>問1 高低点法</t>
    <rPh sb="0" eb="1">
      <t>ト</t>
    </rPh>
    <rPh sb="3" eb="5">
      <t>コウテイ</t>
    </rPh>
    <rPh sb="5" eb="6">
      <t>テン</t>
    </rPh>
    <rPh sb="6" eb="7">
      <t>ホウ</t>
    </rPh>
    <phoneticPr fontId="4"/>
  </si>
  <si>
    <t>月</t>
    <rPh sb="0" eb="1">
      <t>ツキ</t>
    </rPh>
    <phoneticPr fontId="4"/>
  </si>
  <si>
    <t>運転時間ｘ</t>
    <rPh sb="0" eb="2">
      <t>ウンテン</t>
    </rPh>
    <rPh sb="2" eb="4">
      <t>ジカン</t>
    </rPh>
    <phoneticPr fontId="4"/>
  </si>
  <si>
    <t>動力費y</t>
    <rPh sb="0" eb="2">
      <t>ドウリョク</t>
    </rPh>
    <rPh sb="2" eb="3">
      <t>ヒ</t>
    </rPh>
    <phoneticPr fontId="4"/>
  </si>
  <si>
    <t>営業利益率</t>
    <rPh sb="0" eb="2">
      <t>エイギョウ</t>
    </rPh>
    <rPh sb="2" eb="4">
      <t>リエキ</t>
    </rPh>
    <rPh sb="4" eb="5">
      <t>リツ</t>
    </rPh>
    <phoneticPr fontId="4"/>
  </si>
  <si>
    <t>CVP分析の第一歩が固変分解。</t>
    <rPh sb="3" eb="5">
      <t>ブンセキ</t>
    </rPh>
    <rPh sb="6" eb="7">
      <t>ダイ</t>
    </rPh>
    <rPh sb="7" eb="9">
      <t>イッポ</t>
    </rPh>
    <rPh sb="10" eb="11">
      <t>コ</t>
    </rPh>
    <rPh sb="11" eb="12">
      <t>ヘン</t>
    </rPh>
    <rPh sb="12" eb="14">
      <t>ブンカイ</t>
    </rPh>
    <phoneticPr fontId="4"/>
  </si>
  <si>
    <t>(正常稼働範囲における)最高点、採点点をとり2点をつなぐ線とする。つまり2つを方程式で解けば良い。</t>
    <rPh sb="1" eb="3">
      <t>セイジョウ</t>
    </rPh>
    <rPh sb="3" eb="5">
      <t>カドウ</t>
    </rPh>
    <rPh sb="5" eb="7">
      <t>ハンイ</t>
    </rPh>
    <rPh sb="12" eb="15">
      <t>サイコウテン</t>
    </rPh>
    <rPh sb="16" eb="18">
      <t>サイテン</t>
    </rPh>
    <rPh sb="18" eb="19">
      <t>テン</t>
    </rPh>
    <rPh sb="23" eb="24">
      <t>テン</t>
    </rPh>
    <rPh sb="28" eb="29">
      <t>セン</t>
    </rPh>
    <rPh sb="39" eb="42">
      <t>ホウテイシキ</t>
    </rPh>
    <rPh sb="43" eb="44">
      <t>ト</t>
    </rPh>
    <rPh sb="46" eb="47">
      <t>ヨ</t>
    </rPh>
    <phoneticPr fontId="4"/>
  </si>
  <si>
    <t>y=0.67x+233</t>
    <phoneticPr fontId="4"/>
  </si>
  <si>
    <t>ただ、この辺りの数字の半端さが、イケカコらしい嫌な予感の始まり。</t>
    <rPh sb="5" eb="6">
      <t>アタ</t>
    </rPh>
    <rPh sb="8" eb="10">
      <t>スウジ</t>
    </rPh>
    <rPh sb="11" eb="13">
      <t>ハンパ</t>
    </rPh>
    <rPh sb="23" eb="24">
      <t>イヤ</t>
    </rPh>
    <rPh sb="25" eb="27">
      <t>ヨカン</t>
    </rPh>
    <rPh sb="28" eb="29">
      <t>ハジ</t>
    </rPh>
    <phoneticPr fontId="4"/>
  </si>
  <si>
    <t>問2 最小2乗法 ・・診断士試験では出題範囲外なのでパス。</t>
    <rPh sb="0" eb="1">
      <t>ト</t>
    </rPh>
    <rPh sb="3" eb="5">
      <t>サイショウ</t>
    </rPh>
    <rPh sb="6" eb="7">
      <t>ジョウ</t>
    </rPh>
    <rPh sb="7" eb="8">
      <t>ホウ</t>
    </rPh>
    <rPh sb="11" eb="14">
      <t>シンダンシ</t>
    </rPh>
    <rPh sb="14" eb="16">
      <t>シケン</t>
    </rPh>
    <rPh sb="18" eb="20">
      <t>シュツダイ</t>
    </rPh>
    <rPh sb="20" eb="22">
      <t>ハンイ</t>
    </rPh>
    <rPh sb="22" eb="23">
      <t>ガイ</t>
    </rPh>
    <phoneticPr fontId="4"/>
  </si>
  <si>
    <t>2限目 例題2</t>
    <rPh sb="1" eb="3">
      <t>ゲンメ</t>
    </rPh>
    <rPh sb="4" eb="6">
      <t>レイダイ</t>
    </rPh>
    <phoneticPr fontId="4"/>
  </si>
  <si>
    <t>来年度の見積損益計算書</t>
    <rPh sb="0" eb="3">
      <t>ライネンド</t>
    </rPh>
    <rPh sb="4" eb="6">
      <t>ミツ</t>
    </rPh>
    <rPh sb="6" eb="8">
      <t>ソンエキ</t>
    </rPh>
    <rPh sb="8" eb="11">
      <t>ケイサンショ</t>
    </rPh>
    <phoneticPr fontId="4"/>
  </si>
  <si>
    <t>【全部原価計算】</t>
    <rPh sb="1" eb="3">
      <t>ゼンブ</t>
    </rPh>
    <rPh sb="3" eb="5">
      <t>ゲンカ</t>
    </rPh>
    <rPh sb="5" eb="7">
      <t>ケイサン</t>
    </rPh>
    <phoneticPr fontId="4"/>
  </si>
  <si>
    <t>→【直接原価計算】</t>
    <rPh sb="2" eb="4">
      <t>チョクセツ</t>
    </rPh>
    <rPh sb="4" eb="6">
      <t>ゲンカ</t>
    </rPh>
    <rPh sb="6" eb="8">
      <t>ケイサン</t>
    </rPh>
    <phoneticPr fontId="4"/>
  </si>
  <si>
    <t>変動費</t>
    <rPh sb="0" eb="2">
      <t>ヘンドウ</t>
    </rPh>
    <rPh sb="2" eb="3">
      <t>ヒ</t>
    </rPh>
    <phoneticPr fontId="4"/>
  </si>
  <si>
    <t>直接材料費Z</t>
    <rPh sb="0" eb="2">
      <t>チョクセツ</t>
    </rPh>
    <rPh sb="2" eb="5">
      <t>ザイリョウヒ</t>
    </rPh>
    <phoneticPr fontId="4"/>
  </si>
  <si>
    <t>直接労務費L</t>
    <rPh sb="0" eb="2">
      <t>チョクセツ</t>
    </rPh>
    <rPh sb="2" eb="5">
      <t>ロウムヒ</t>
    </rPh>
    <phoneticPr fontId="4"/>
  </si>
  <si>
    <t>変動間接費VK</t>
    <rPh sb="0" eb="2">
      <t>ヘンドウ</t>
    </rPh>
    <rPh sb="2" eb="4">
      <t>カンセツ</t>
    </rPh>
    <rPh sb="4" eb="5">
      <t>ヒ</t>
    </rPh>
    <phoneticPr fontId="4"/>
  </si>
  <si>
    <t>固定間接費FK</t>
    <rPh sb="0" eb="2">
      <t>コテイ</t>
    </rPh>
    <rPh sb="2" eb="4">
      <t>カンセツ</t>
    </rPh>
    <rPh sb="4" eb="5">
      <t>ヒ</t>
    </rPh>
    <phoneticPr fontId="4"/>
  </si>
  <si>
    <t>・・限界利益率</t>
    <rPh sb="2" eb="4">
      <t>ゲンカイ</t>
    </rPh>
    <rPh sb="4" eb="6">
      <t>リエキ</t>
    </rPh>
    <rPh sb="6" eb="7">
      <t>リツ</t>
    </rPh>
    <phoneticPr fontId="4"/>
  </si>
  <si>
    <t>販管費</t>
    <rPh sb="0" eb="3">
      <t>ハンカンヒ</t>
    </rPh>
    <phoneticPr fontId="4"/>
  </si>
  <si>
    <t>固定費</t>
    <rPh sb="0" eb="3">
      <t>コテイヒ</t>
    </rPh>
    <phoneticPr fontId="4"/>
  </si>
  <si>
    <t>変動販管費VS</t>
    <rPh sb="0" eb="2">
      <t>ヘンドウ</t>
    </rPh>
    <rPh sb="2" eb="5">
      <t>ハンカンヒ</t>
    </rPh>
    <phoneticPr fontId="4"/>
  </si>
  <si>
    <t>固定販管費FS</t>
    <rPh sb="0" eb="2">
      <t>コテイ</t>
    </rPh>
    <rPh sb="2" eb="5">
      <t>ハンカンヒ</t>
    </rPh>
    <phoneticPr fontId="4"/>
  </si>
  <si>
    <t>・・固定費額</t>
    <rPh sb="2" eb="5">
      <t>コテイヒ</t>
    </rPh>
    <rPh sb="5" eb="6">
      <t>ガク</t>
    </rPh>
    <phoneticPr fontId="4"/>
  </si>
  <si>
    <r>
      <t xml:space="preserve">問1 損益分岐点売上高SBEP </t>
    </r>
    <r>
      <rPr>
        <sz val="10"/>
        <color rgb="FFFF0000"/>
        <rFont val="游ゴシック"/>
        <family val="3"/>
        <charset val="128"/>
        <scheme val="minor"/>
      </rPr>
      <t>【超重要】</t>
    </r>
    <rPh sb="0" eb="1">
      <t>ト</t>
    </rPh>
    <rPh sb="3" eb="5">
      <t>ソンエキ</t>
    </rPh>
    <rPh sb="5" eb="8">
      <t>ブンキテン</t>
    </rPh>
    <rPh sb="8" eb="10">
      <t>ウリアゲ</t>
    </rPh>
    <rPh sb="10" eb="11">
      <t>ダカ</t>
    </rPh>
    <rPh sb="17" eb="18">
      <t>チョウ</t>
    </rPh>
    <rPh sb="18" eb="20">
      <t>ジュウヨウ</t>
    </rPh>
    <phoneticPr fontId="4"/>
  </si>
  <si>
    <t>固定費額÷限界利益率の公式から、</t>
    <rPh sb="0" eb="3">
      <t>コテイヒ</t>
    </rPh>
    <rPh sb="3" eb="4">
      <t>ガク</t>
    </rPh>
    <rPh sb="5" eb="7">
      <t>ゲンカイ</t>
    </rPh>
    <rPh sb="7" eb="9">
      <t>リエキ</t>
    </rPh>
    <rPh sb="9" eb="10">
      <t>リツ</t>
    </rPh>
    <rPh sb="11" eb="13">
      <t>コウシキ</t>
    </rPh>
    <phoneticPr fontId="4"/>
  </si>
  <si>
    <t>・・修正後の固定費額</t>
    <rPh sb="2" eb="4">
      <t>シュウセイ</t>
    </rPh>
    <rPh sb="4" eb="5">
      <t>ゴ</t>
    </rPh>
    <rPh sb="6" eb="9">
      <t>コテイヒ</t>
    </rPh>
    <rPh sb="9" eb="10">
      <t>ガク</t>
    </rPh>
    <phoneticPr fontId="4"/>
  </si>
  <si>
    <t>÷</t>
    <phoneticPr fontId="4"/>
  </si>
  <si>
    <t>=</t>
    <phoneticPr fontId="4"/>
  </si>
  <si>
    <t>←これで正解。イケカコはこのようにとんでもない端数を出すので、手計算には不向き。</t>
    <rPh sb="4" eb="6">
      <t>セイカイ</t>
    </rPh>
    <rPh sb="23" eb="25">
      <t>ハスウ</t>
    </rPh>
    <rPh sb="26" eb="27">
      <t>ダ</t>
    </rPh>
    <rPh sb="31" eb="32">
      <t>テ</t>
    </rPh>
    <rPh sb="32" eb="34">
      <t>ケイサン</t>
    </rPh>
    <rPh sb="36" eb="38">
      <t>フム</t>
    </rPh>
    <phoneticPr fontId="4"/>
  </si>
  <si>
    <t>問2 来年度の安全余裕率</t>
    <rPh sb="0" eb="1">
      <t>ト</t>
    </rPh>
    <rPh sb="3" eb="6">
      <t>ライネンド</t>
    </rPh>
    <rPh sb="7" eb="9">
      <t>アンゼン</t>
    </rPh>
    <rPh sb="9" eb="11">
      <t>ヨユウ</t>
    </rPh>
    <rPh sb="11" eb="12">
      <t>リツ</t>
    </rPh>
    <phoneticPr fontId="4"/>
  </si>
  <si>
    <t>(売上高－SBEP)/売上高</t>
    <rPh sb="1" eb="3">
      <t>ウリアゲ</t>
    </rPh>
    <rPh sb="3" eb="4">
      <t>ダカ</t>
    </rPh>
    <rPh sb="11" eb="13">
      <t>ウリアゲ</t>
    </rPh>
    <rPh sb="13" eb="14">
      <t>ダカ</t>
    </rPh>
    <phoneticPr fontId="4"/>
  </si>
  <si>
    <t>←これで正解。</t>
    <rPh sb="4" eb="6">
      <t>セイカイ</t>
    </rPh>
    <phoneticPr fontId="4"/>
  </si>
  <si>
    <r>
      <t xml:space="preserve">問3 経営レバレッジ係数 </t>
    </r>
    <r>
      <rPr>
        <sz val="10"/>
        <color rgb="FFFF0000"/>
        <rFont val="游ゴシック"/>
        <family val="3"/>
        <charset val="128"/>
        <scheme val="minor"/>
      </rPr>
      <t>【後回しでOK】</t>
    </r>
    <rPh sb="0" eb="1">
      <t>ト</t>
    </rPh>
    <rPh sb="3" eb="5">
      <t>ケイエイ</t>
    </rPh>
    <rPh sb="10" eb="12">
      <t>ケイスウ</t>
    </rPh>
    <rPh sb="14" eb="16">
      <t>アトマワ</t>
    </rPh>
    <phoneticPr fontId="4"/>
  </si>
  <si>
    <r>
      <t xml:space="preserve">問4 目標利益750,000円を達成する目標売上高 </t>
    </r>
    <r>
      <rPr>
        <sz val="10"/>
        <color rgb="FFFF0000"/>
        <rFont val="游ゴシック"/>
        <family val="3"/>
        <charset val="128"/>
        <scheme val="minor"/>
      </rPr>
      <t>【超重要】</t>
    </r>
    <rPh sb="0" eb="1">
      <t>ト</t>
    </rPh>
    <rPh sb="3" eb="5">
      <t>モクヒョウ</t>
    </rPh>
    <rPh sb="5" eb="7">
      <t>リエキ</t>
    </rPh>
    <rPh sb="14" eb="15">
      <t>エン</t>
    </rPh>
    <rPh sb="16" eb="18">
      <t>タッセイ</t>
    </rPh>
    <rPh sb="20" eb="22">
      <t>モクヒョウ</t>
    </rPh>
    <rPh sb="22" eb="24">
      <t>ウリアゲ</t>
    </rPh>
    <rPh sb="24" eb="25">
      <t>ダカ</t>
    </rPh>
    <rPh sb="27" eb="28">
      <t>チョウ</t>
    </rPh>
    <rPh sb="28" eb="30">
      <t>ジュウヨウ</t>
    </rPh>
    <phoneticPr fontId="4"/>
  </si>
  <si>
    <t>【直接原価計算】</t>
    <rPh sb="1" eb="3">
      <t>チョクセツ</t>
    </rPh>
    <rPh sb="3" eb="5">
      <t>ゲンカ</t>
    </rPh>
    <rPh sb="5" eb="7">
      <t>ケイサン</t>
    </rPh>
    <phoneticPr fontId="4"/>
  </si>
  <si>
    <t>販売個数</t>
    <rPh sb="0" eb="2">
      <t>ハンバイ</t>
    </rPh>
    <rPh sb="2" eb="4">
      <t>コスウ</t>
    </rPh>
    <phoneticPr fontId="4"/>
  </si>
  <si>
    <t>単価</t>
    <rPh sb="0" eb="2">
      <t>タンカ</t>
    </rPh>
    <phoneticPr fontId="4"/>
  </si>
  <si>
    <t>変動加工費VK</t>
    <rPh sb="0" eb="2">
      <t>ヘンドウ</t>
    </rPh>
    <rPh sb="2" eb="5">
      <t>カコウヒ</t>
    </rPh>
    <phoneticPr fontId="4"/>
  </si>
  <si>
    <t>変動販売費VS</t>
    <rPh sb="0" eb="2">
      <t>ヘンドウ</t>
    </rPh>
    <rPh sb="2" eb="5">
      <t>ハンバイヒ</t>
    </rPh>
    <phoneticPr fontId="4"/>
  </si>
  <si>
    <t>固定加工費FK</t>
    <rPh sb="0" eb="2">
      <t>コテイ</t>
    </rPh>
    <rPh sb="2" eb="5">
      <t>カコウヒ</t>
    </rPh>
    <phoneticPr fontId="4"/>
  </si>
  <si>
    <t>・・問１</t>
    <rPh sb="2" eb="3">
      <t>トイ</t>
    </rPh>
    <phoneticPr fontId="4"/>
  </si>
  <si>
    <t>固定販売費FS</t>
    <rPh sb="0" eb="2">
      <t>コテイ</t>
    </rPh>
    <rPh sb="2" eb="5">
      <t>ハンバイヒ</t>
    </rPh>
    <phoneticPr fontId="4"/>
  </si>
  <si>
    <t>一般管理費</t>
    <rPh sb="0" eb="2">
      <t>イッパン</t>
    </rPh>
    <rPh sb="2" eb="5">
      <t>カンリヒ</t>
    </rPh>
    <phoneticPr fontId="4"/>
  </si>
  <si>
    <t>営業外損益</t>
    <rPh sb="0" eb="3">
      <t>エイギョウガイ</t>
    </rPh>
    <rPh sb="3" eb="5">
      <t>ソンエキ</t>
    </rPh>
    <phoneticPr fontId="4"/>
  </si>
  <si>
    <t>営業外収益</t>
    <rPh sb="0" eb="3">
      <t>エイギョウガイ</t>
    </rPh>
    <rPh sb="3" eb="5">
      <t>シュウエキ</t>
    </rPh>
    <phoneticPr fontId="4"/>
  </si>
  <si>
    <t>営業外費用</t>
    <rPh sb="0" eb="3">
      <t>エイギョウガイ</t>
    </rPh>
    <rPh sb="3" eb="5">
      <t>ヒヨウ</t>
    </rPh>
    <phoneticPr fontId="4"/>
  </si>
  <si>
    <r>
      <t>問1 損益分岐点販売</t>
    </r>
    <r>
      <rPr>
        <u/>
        <sz val="10"/>
        <color theme="1"/>
        <rFont val="游ゴシック"/>
        <family val="3"/>
        <charset val="128"/>
        <scheme val="minor"/>
      </rPr>
      <t>量</t>
    </r>
    <rPh sb="0" eb="1">
      <t>ト</t>
    </rPh>
    <rPh sb="3" eb="5">
      <t>ソンエキ</t>
    </rPh>
    <rPh sb="5" eb="8">
      <t>ブンキテン</t>
    </rPh>
    <rPh sb="8" eb="10">
      <t>ハンバイ</t>
    </rPh>
    <rPh sb="10" eb="11">
      <t>リョウ</t>
    </rPh>
    <phoneticPr fontId="4"/>
  </si>
  <si>
    <t>エクセルなので、SBEPを出してから単価で割る。電卓で解く場合は模範解答の様にショートカットする。</t>
    <rPh sb="13" eb="14">
      <t>ダ</t>
    </rPh>
    <rPh sb="18" eb="20">
      <t>タンカ</t>
    </rPh>
    <rPh sb="21" eb="22">
      <t>ワ</t>
    </rPh>
    <rPh sb="24" eb="26">
      <t>デンタク</t>
    </rPh>
    <rPh sb="27" eb="28">
      <t>ト</t>
    </rPh>
    <rPh sb="29" eb="31">
      <t>バアイ</t>
    </rPh>
    <rPh sb="32" eb="34">
      <t>モハン</t>
    </rPh>
    <rPh sb="34" eb="36">
      <t>カイトウ</t>
    </rPh>
    <rPh sb="37" eb="38">
      <t>ヨウ</t>
    </rPh>
    <phoneticPr fontId="4"/>
  </si>
  <si>
    <t>＝</t>
    <phoneticPr fontId="4"/>
  </si>
  <si>
    <t>損益分岐点比率</t>
    <rPh sb="0" eb="2">
      <t>ソンエキ</t>
    </rPh>
    <rPh sb="2" eb="5">
      <t>ブンキテン</t>
    </rPh>
    <rPh sb="5" eb="7">
      <t>ヒリツ</t>
    </rPh>
    <phoneticPr fontId="4"/>
  </si>
  <si>
    <t>問2 経営レバレッジ係数</t>
    <rPh sb="0" eb="1">
      <t>ト</t>
    </rPh>
    <rPh sb="3" eb="5">
      <t>ケイエイ</t>
    </rPh>
    <rPh sb="10" eb="12">
      <t>ケイスウ</t>
    </rPh>
    <phoneticPr fontId="4"/>
  </si>
  <si>
    <t>限界利益率／営業利益率</t>
    <rPh sb="0" eb="2">
      <t>ゲンカイ</t>
    </rPh>
    <rPh sb="2" eb="4">
      <t>リエキ</t>
    </rPh>
    <rPh sb="4" eb="5">
      <t>リツ</t>
    </rPh>
    <rPh sb="6" eb="8">
      <t>エイギョウ</t>
    </rPh>
    <rPh sb="8" eb="10">
      <t>リエキ</t>
    </rPh>
    <rPh sb="10" eb="11">
      <t>リツ</t>
    </rPh>
    <phoneticPr fontId="4"/>
  </si>
  <si>
    <t>営業利益の増加率＝売上高の増加率×経営レバレッジ係数</t>
    <rPh sb="0" eb="2">
      <t>エイギョウ</t>
    </rPh>
    <rPh sb="2" eb="4">
      <t>リエキ</t>
    </rPh>
    <rPh sb="5" eb="7">
      <t>ゾウカ</t>
    </rPh>
    <rPh sb="7" eb="8">
      <t>リツ</t>
    </rPh>
    <rPh sb="9" eb="11">
      <t>ウリアゲ</t>
    </rPh>
    <rPh sb="11" eb="12">
      <t>ダカ</t>
    </rPh>
    <rPh sb="13" eb="15">
      <t>ゾウカ</t>
    </rPh>
    <rPh sb="15" eb="16">
      <t>リツ</t>
    </rPh>
    <rPh sb="17" eb="19">
      <t>ケイエイ</t>
    </rPh>
    <rPh sb="24" eb="26">
      <t>ケイスウ</t>
    </rPh>
    <phoneticPr fontId="4"/>
  </si>
  <si>
    <t>問3 目標売上高</t>
    <rPh sb="0" eb="1">
      <t>ト</t>
    </rPh>
    <rPh sb="3" eb="5">
      <t>モクヒョウ</t>
    </rPh>
    <rPh sb="5" eb="7">
      <t>ウリアゲ</t>
    </rPh>
    <rPh sb="7" eb="8">
      <t>ダカ</t>
    </rPh>
    <phoneticPr fontId="4"/>
  </si>
  <si>
    <t>目標使用総資本税引後経常利益率(←こいつメンドくさっ)</t>
    <rPh sb="0" eb="2">
      <t>モクヒョウ</t>
    </rPh>
    <rPh sb="2" eb="4">
      <t>シヨウ</t>
    </rPh>
    <rPh sb="4" eb="7">
      <t>ソウシホン</t>
    </rPh>
    <rPh sb="7" eb="9">
      <t>ゼイビキ</t>
    </rPh>
    <rPh sb="9" eb="10">
      <t>ゴ</t>
    </rPh>
    <rPh sb="10" eb="12">
      <t>ケイツネ</t>
    </rPh>
    <rPh sb="12" eb="14">
      <t>リエキ</t>
    </rPh>
    <rPh sb="14" eb="15">
      <t>リツ</t>
    </rPh>
    <phoneticPr fontId="4"/>
  </si>
  <si>
    <t>税引後経常利益</t>
    <rPh sb="0" eb="2">
      <t>ゼイビキ</t>
    </rPh>
    <rPh sb="2" eb="3">
      <t>ゴ</t>
    </rPh>
    <rPh sb="3" eb="5">
      <t>ケイツネ</t>
    </rPh>
    <rPh sb="5" eb="7">
      <t>リエキ</t>
    </rPh>
    <phoneticPr fontId="4"/>
  </si>
  <si>
    <t>・・360,000,000×20%</t>
    <phoneticPr fontId="4"/>
  </si>
  <si>
    <t>税引前  〃</t>
    <rPh sb="0" eb="2">
      <t>ゼイビキ</t>
    </rPh>
    <rPh sb="2" eb="3">
      <t>マエ</t>
    </rPh>
    <phoneticPr fontId="4"/>
  </si>
  <si>
    <t>・・0.6で割って税前に戻す</t>
    <rPh sb="6" eb="7">
      <t>ワ</t>
    </rPh>
    <rPh sb="9" eb="10">
      <t>ゼイ</t>
    </rPh>
    <rPh sb="10" eb="11">
      <t>マエ</t>
    </rPh>
    <rPh sb="12" eb="13">
      <t>モド</t>
    </rPh>
    <phoneticPr fontId="4"/>
  </si>
  <si>
    <t>電卓で解く場合は、模範解答の様に個数で計算</t>
    <rPh sb="0" eb="2">
      <t>デンタク</t>
    </rPh>
    <rPh sb="3" eb="4">
      <t>ト</t>
    </rPh>
    <rPh sb="5" eb="7">
      <t>バアイ</t>
    </rPh>
    <rPh sb="9" eb="11">
      <t>モハン</t>
    </rPh>
    <rPh sb="11" eb="13">
      <t>カイトウ</t>
    </rPh>
    <rPh sb="14" eb="15">
      <t>ヨウ</t>
    </rPh>
    <rPh sb="16" eb="18">
      <t>コスウ</t>
    </rPh>
    <rPh sb="19" eb="21">
      <t>ケイサン</t>
    </rPh>
    <phoneticPr fontId="4"/>
  </si>
  <si>
    <t>目標売上高の計算 (目標利益を固定費に足し、限界利益率で割る)</t>
    <rPh sb="0" eb="2">
      <t>モクヒョウ</t>
    </rPh>
    <rPh sb="2" eb="4">
      <t>ウリアゲ</t>
    </rPh>
    <rPh sb="4" eb="5">
      <t>ダカ</t>
    </rPh>
    <rPh sb="6" eb="8">
      <t>ケイサン</t>
    </rPh>
    <rPh sb="10" eb="12">
      <t>モクヒョウ</t>
    </rPh>
    <rPh sb="12" eb="14">
      <t>リエキ</t>
    </rPh>
    <rPh sb="15" eb="18">
      <t>コテイヒ</t>
    </rPh>
    <rPh sb="19" eb="20">
      <t>タ</t>
    </rPh>
    <rPh sb="22" eb="24">
      <t>ゲンカイ</t>
    </rPh>
    <rPh sb="24" eb="26">
      <t>リエキ</t>
    </rPh>
    <rPh sb="26" eb="27">
      <t>リツ</t>
    </rPh>
    <rPh sb="28" eb="29">
      <t>ワ</t>
    </rPh>
    <phoneticPr fontId="4"/>
  </si>
  <si>
    <t>個</t>
    <rPh sb="0" eb="1">
      <t>コ</t>
    </rPh>
    <phoneticPr fontId="4"/>
  </si>
  <si>
    <t>問4 感度分析</t>
    <rPh sb="0" eb="1">
      <t>ト</t>
    </rPh>
    <rPh sb="3" eb="5">
      <t>カンド</t>
    </rPh>
    <rPh sb="5" eb="7">
      <t>ブンセキ</t>
    </rPh>
    <phoneticPr fontId="4"/>
  </si>
  <si>
    <t>固定費の修正</t>
    <rPh sb="0" eb="3">
      <t>コテイヒ</t>
    </rPh>
    <rPh sb="4" eb="6">
      <t>シュウセイ</t>
    </rPh>
    <phoneticPr fontId="4"/>
  </si>
  <si>
    <t>限界利益率の修正</t>
    <rPh sb="0" eb="2">
      <t>ゲンカイ</t>
    </rPh>
    <rPh sb="2" eb="4">
      <t>リエキ</t>
    </rPh>
    <rPh sb="4" eb="5">
      <t>リツ</t>
    </rPh>
    <rPh sb="6" eb="8">
      <t>シュウセイ</t>
    </rPh>
    <phoneticPr fontId="4"/>
  </si>
  <si>
    <t>3限目 問題２</t>
    <rPh sb="1" eb="3">
      <t>ゲンメ</t>
    </rPh>
    <rPh sb="4" eb="6">
      <t>モンダイ</t>
    </rPh>
    <phoneticPr fontId="4"/>
  </si>
  <si>
    <t>(1)当初</t>
    <rPh sb="3" eb="5">
      <t>トウショ</t>
    </rPh>
    <phoneticPr fontId="4"/>
  </si>
  <si>
    <t>(2)変化</t>
    <rPh sb="3" eb="5">
      <t>ヘンカ</t>
    </rPh>
    <phoneticPr fontId="4"/>
  </si>
  <si>
    <t>解き方メモ</t>
    <rPh sb="0" eb="1">
      <t>ト</t>
    </rPh>
    <rPh sb="2" eb="3">
      <t>カタ</t>
    </rPh>
    <phoneticPr fontId="4"/>
  </si>
  <si>
    <t>販売価格</t>
    <rPh sb="0" eb="2">
      <t>ハンバイ</t>
    </rPh>
    <rPh sb="2" eb="4">
      <t>カカク</t>
    </rPh>
    <phoneticPr fontId="4"/>
  </si>
  <si>
    <t>・多桁式固定費予算、計算の煩雑さはあるが、整理していくと問われる条件変化は定番パターン</t>
    <rPh sb="1" eb="2">
      <t>タ</t>
    </rPh>
    <rPh sb="2" eb="3">
      <t>ケタ</t>
    </rPh>
    <rPh sb="3" eb="4">
      <t>シキ</t>
    </rPh>
    <rPh sb="4" eb="7">
      <t>コテイヒ</t>
    </rPh>
    <rPh sb="7" eb="9">
      <t>ヨサン</t>
    </rPh>
    <rPh sb="10" eb="12">
      <t>ケイサン</t>
    </rPh>
    <rPh sb="13" eb="15">
      <t>ハンザツ</t>
    </rPh>
    <rPh sb="21" eb="23">
      <t>セイリ</t>
    </rPh>
    <rPh sb="28" eb="29">
      <t>ト</t>
    </rPh>
    <rPh sb="32" eb="34">
      <t>ジョウケン</t>
    </rPh>
    <rPh sb="34" eb="36">
      <t>ヘンカ</t>
    </rPh>
    <rPh sb="37" eb="39">
      <t>テイバン</t>
    </rPh>
    <phoneticPr fontId="4"/>
  </si>
  <si>
    <t>・エクセルを使うことで、難しいことを問うているわけでないと実感すれば、成果あり。</t>
    <rPh sb="6" eb="7">
      <t>ツカ</t>
    </rPh>
    <rPh sb="12" eb="13">
      <t>ムズカ</t>
    </rPh>
    <rPh sb="18" eb="19">
      <t>ト</t>
    </rPh>
    <rPh sb="29" eb="31">
      <t>ジッカン</t>
    </rPh>
    <rPh sb="35" eb="37">
      <t>セイカ</t>
    </rPh>
    <phoneticPr fontId="4"/>
  </si>
  <si>
    <t>Z原料費</t>
    <rPh sb="1" eb="4">
      <t>ゲンリョウヒ</t>
    </rPh>
    <phoneticPr fontId="4"/>
  </si>
  <si>
    <t>VK変動加工費</t>
    <rPh sb="2" eb="4">
      <t>ヘンドウ</t>
    </rPh>
    <rPh sb="4" eb="7">
      <t>カコウヒ</t>
    </rPh>
    <phoneticPr fontId="4"/>
  </si>
  <si>
    <t>問5</t>
    <rPh sb="0" eb="1">
      <t>ト</t>
    </rPh>
    <phoneticPr fontId="4"/>
  </si>
  <si>
    <t>VS変動販売費</t>
    <rPh sb="2" eb="4">
      <t>ヘンドウ</t>
    </rPh>
    <rPh sb="4" eb="7">
      <t>ハンバイヒ</t>
    </rPh>
    <phoneticPr fontId="4"/>
  </si>
  <si>
    <t>安全余裕率</t>
    <rPh sb="0" eb="2">
      <t>アンゼン</t>
    </rPh>
    <rPh sb="2" eb="4">
      <t>ヨユウ</t>
    </rPh>
    <rPh sb="4" eb="5">
      <t>リツ</t>
    </rPh>
    <phoneticPr fontId="4"/>
  </si>
  <si>
    <t>限界利益率</t>
    <rPh sb="0" eb="2">
      <t>ゲンカイ</t>
    </rPh>
    <rPh sb="2" eb="4">
      <t>リエキ</t>
    </rPh>
    <rPh sb="4" eb="5">
      <t>リツ</t>
    </rPh>
    <phoneticPr fontId="4"/>
  </si>
  <si>
    <t>問1</t>
    <rPh sb="0" eb="1">
      <t>ト</t>
    </rPh>
    <phoneticPr fontId="4"/>
  </si>
  <si>
    <t>問2</t>
    <rPh sb="0" eb="1">
      <t>ト</t>
    </rPh>
    <phoneticPr fontId="4"/>
  </si>
  <si>
    <t>問3～4</t>
    <rPh sb="0" eb="1">
      <t>ト</t>
    </rPh>
    <phoneticPr fontId="4"/>
  </si>
  <si>
    <t>修正後固定費</t>
    <rPh sb="0" eb="2">
      <t>シュウセイ</t>
    </rPh>
    <rPh sb="2" eb="3">
      <t>ゴ</t>
    </rPh>
    <rPh sb="3" eb="6">
      <t>コテイヒ</t>
    </rPh>
    <phoneticPr fontId="4"/>
  </si>
  <si>
    <t>FK固定加工費①</t>
    <rPh sb="2" eb="4">
      <t>コテイ</t>
    </rPh>
    <rPh sb="4" eb="7">
      <t>カコウヒ</t>
    </rPh>
    <phoneticPr fontId="4"/>
  </si>
  <si>
    <t>SBEP kg</t>
    <phoneticPr fontId="4"/>
  </si>
  <si>
    <t>FS固定販売費①</t>
    <rPh sb="2" eb="4">
      <t>コテイ</t>
    </rPh>
    <rPh sb="4" eb="7">
      <t>ハンバイヒ</t>
    </rPh>
    <phoneticPr fontId="4"/>
  </si>
  <si>
    <t>←ココ</t>
    <phoneticPr fontId="4"/>
  </si>
  <si>
    <t>FK固定加工費②</t>
    <rPh sb="2" eb="4">
      <t>コテイ</t>
    </rPh>
    <rPh sb="4" eb="7">
      <t>カコウヒ</t>
    </rPh>
    <phoneticPr fontId="4"/>
  </si>
  <si>
    <t>FS固定販売費②</t>
    <rPh sb="2" eb="4">
      <t>コテイ</t>
    </rPh>
    <rPh sb="4" eb="7">
      <t>ハンバイヒ</t>
    </rPh>
    <phoneticPr fontId="4"/>
  </si>
  <si>
    <t>FK固定加工費③</t>
    <rPh sb="2" eb="4">
      <t>コテイ</t>
    </rPh>
    <rPh sb="4" eb="7">
      <t>カコウヒ</t>
    </rPh>
    <phoneticPr fontId="4"/>
  </si>
  <si>
    <t>FS固定販売費③</t>
    <rPh sb="2" eb="4">
      <t>コテイ</t>
    </rPh>
    <rPh sb="4" eb="7">
      <t>ハンバイヒ</t>
    </rPh>
    <phoneticPr fontId="4"/>
  </si>
  <si>
    <t>問3</t>
    <rPh sb="0" eb="1">
      <t>ト</t>
    </rPh>
    <phoneticPr fontId="4"/>
  </si>
  <si>
    <t>目標経常利益</t>
    <rPh sb="0" eb="2">
      <t>モクヒョウ</t>
    </rPh>
    <rPh sb="2" eb="4">
      <t>ケイツネ</t>
    </rPh>
    <rPh sb="4" eb="6">
      <t>リエキ</t>
    </rPh>
    <phoneticPr fontId="4"/>
  </si>
  <si>
    <t>使用総資本</t>
    <rPh sb="0" eb="2">
      <t>シヨウ</t>
    </rPh>
    <rPh sb="2" eb="5">
      <t>ソウシホン</t>
    </rPh>
    <phoneticPr fontId="4"/>
  </si>
  <si>
    <t>目標利益率</t>
    <rPh sb="0" eb="2">
      <t>モクヒョウ</t>
    </rPh>
    <rPh sb="2" eb="4">
      <t>リエキ</t>
    </rPh>
    <rPh sb="4" eb="5">
      <t>リツ</t>
    </rPh>
    <phoneticPr fontId="4"/>
  </si>
  <si>
    <t>税率</t>
    <rPh sb="0" eb="2">
      <t>ゼイリツ</t>
    </rPh>
    <phoneticPr fontId="4"/>
  </si>
  <si>
    <t>Lecture 4 事業部の業績評価</t>
    <rPh sb="10" eb="12">
      <t>ジギョウ</t>
    </rPh>
    <rPh sb="12" eb="13">
      <t>ブ</t>
    </rPh>
    <rPh sb="14" eb="16">
      <t>ギョウセキ</t>
    </rPh>
    <rPh sb="16" eb="18">
      <t>ヒョウカ</t>
    </rPh>
    <phoneticPr fontId="4"/>
  </si>
  <si>
    <t>解き方</t>
    <rPh sb="0" eb="1">
      <t>ト</t>
    </rPh>
    <rPh sb="2" eb="3">
      <t>カタ</t>
    </rPh>
    <phoneticPr fontId="4"/>
  </si>
  <si>
    <t>売上高営業利益率や資本回転率に始まり、EVAまでの計算方法に慣れ親しむ。</t>
    <rPh sb="0" eb="2">
      <t>ウリアゲ</t>
    </rPh>
    <rPh sb="2" eb="3">
      <t>ダカ</t>
    </rPh>
    <rPh sb="3" eb="5">
      <t>エイギョウ</t>
    </rPh>
    <rPh sb="5" eb="7">
      <t>リエキ</t>
    </rPh>
    <rPh sb="7" eb="8">
      <t>リツ</t>
    </rPh>
    <rPh sb="9" eb="11">
      <t>シホン</t>
    </rPh>
    <rPh sb="11" eb="13">
      <t>カイテン</t>
    </rPh>
    <rPh sb="13" eb="14">
      <t>リツ</t>
    </rPh>
    <rPh sb="15" eb="16">
      <t>ハジ</t>
    </rPh>
    <rPh sb="25" eb="27">
      <t>ケイサン</t>
    </rPh>
    <rPh sb="27" eb="29">
      <t>ホウホウ</t>
    </rPh>
    <rPh sb="30" eb="31">
      <t>ナ</t>
    </rPh>
    <rPh sb="32" eb="33">
      <t>シタ</t>
    </rPh>
    <phoneticPr fontId="4"/>
  </si>
  <si>
    <t>事業部投下資本</t>
    <rPh sb="0" eb="2">
      <t>ジギョウ</t>
    </rPh>
    <rPh sb="2" eb="3">
      <t>ブ</t>
    </rPh>
    <rPh sb="3" eb="5">
      <t>トウカ</t>
    </rPh>
    <rPh sb="5" eb="7">
      <t>シホン</t>
    </rPh>
    <phoneticPr fontId="4"/>
  </si>
  <si>
    <t>要求利益率</t>
    <rPh sb="0" eb="2">
      <t>ヨウキュウ</t>
    </rPh>
    <rPh sb="2" eb="4">
      <t>リエキ</t>
    </rPh>
    <rPh sb="4" eb="5">
      <t>リツ</t>
    </rPh>
    <phoneticPr fontId="4"/>
  </si>
  <si>
    <t>売上高営業利益率</t>
    <rPh sb="0" eb="2">
      <t>ウリアゲ</t>
    </rPh>
    <rPh sb="2" eb="3">
      <t>ダカ</t>
    </rPh>
    <rPh sb="3" eb="5">
      <t>エイギョウ</t>
    </rPh>
    <rPh sb="5" eb="7">
      <t>リエキ</t>
    </rPh>
    <rPh sb="7" eb="8">
      <t>リツ</t>
    </rPh>
    <phoneticPr fontId="4"/>
  </si>
  <si>
    <t>資本回転率</t>
    <rPh sb="0" eb="2">
      <t>シホン</t>
    </rPh>
    <rPh sb="2" eb="4">
      <t>カイテン</t>
    </rPh>
    <rPh sb="4" eb="5">
      <t>リツ</t>
    </rPh>
    <phoneticPr fontId="4"/>
  </si>
  <si>
    <t>回</t>
    <rPh sb="0" eb="1">
      <t>カイ</t>
    </rPh>
    <phoneticPr fontId="4"/>
  </si>
  <si>
    <t>投下資本営業利益率</t>
    <rPh sb="0" eb="2">
      <t>トウカ</t>
    </rPh>
    <rPh sb="2" eb="4">
      <t>シホン</t>
    </rPh>
    <rPh sb="4" eb="6">
      <t>エイギョウ</t>
    </rPh>
    <rPh sb="6" eb="8">
      <t>リエキ</t>
    </rPh>
    <rPh sb="8" eb="9">
      <t>リツ</t>
    </rPh>
    <phoneticPr fontId="4"/>
  </si>
  <si>
    <t>残余利益</t>
    <rPh sb="0" eb="2">
      <t>ザンヨ</t>
    </rPh>
    <rPh sb="2" eb="4">
      <t>リエキ</t>
    </rPh>
    <phoneticPr fontId="4"/>
  </si>
  <si>
    <t>千円</t>
    <rPh sb="0" eb="2">
      <t>センエン</t>
    </rPh>
    <phoneticPr fontId="4"/>
  </si>
  <si>
    <t>S</t>
    <phoneticPr fontId="4"/>
  </si>
  <si>
    <t>T</t>
    <phoneticPr fontId="4"/>
  </si>
  <si>
    <t>総資産</t>
    <rPh sb="0" eb="3">
      <t>ソウシサン</t>
    </rPh>
    <phoneticPr fontId="4"/>
  </si>
  <si>
    <t>流動負債</t>
    <rPh sb="0" eb="2">
      <t>リュウドウ</t>
    </rPh>
    <rPh sb="2" eb="4">
      <t>フサイ</t>
    </rPh>
    <phoneticPr fontId="4"/>
  </si>
  <si>
    <t>税引前営業利益</t>
    <rPh sb="0" eb="2">
      <t>ゼイビキ</t>
    </rPh>
    <rPh sb="2" eb="3">
      <t>マエ</t>
    </rPh>
    <rPh sb="3" eb="5">
      <t>エイギョウ</t>
    </rPh>
    <rPh sb="5" eb="7">
      <t>リエキ</t>
    </rPh>
    <phoneticPr fontId="4"/>
  </si>
  <si>
    <t>投資利益率</t>
    <rPh sb="0" eb="2">
      <t>トウシ</t>
    </rPh>
    <rPh sb="2" eb="4">
      <t>リエキ</t>
    </rPh>
    <rPh sb="4" eb="5">
      <t>リツ</t>
    </rPh>
    <phoneticPr fontId="4"/>
  </si>
  <si>
    <t>WACCの計算</t>
    <rPh sb="5" eb="7">
      <t>ケイサン</t>
    </rPh>
    <phoneticPr fontId="4"/>
  </si>
  <si>
    <t>長期負債</t>
    <rPh sb="0" eb="2">
      <t>チョウキ</t>
    </rPh>
    <rPh sb="2" eb="4">
      <t>フサイ</t>
    </rPh>
    <phoneticPr fontId="4"/>
  </si>
  <si>
    <t>資本コスト</t>
    <rPh sb="0" eb="2">
      <t>シホン</t>
    </rPh>
    <phoneticPr fontId="4"/>
  </si>
  <si>
    <t>税効果後資本コスト</t>
    <rPh sb="0" eb="1">
      <t>ゼイ</t>
    </rPh>
    <rPh sb="1" eb="3">
      <t>コウカ</t>
    </rPh>
    <rPh sb="3" eb="4">
      <t>ゴ</t>
    </rPh>
    <rPh sb="4" eb="6">
      <t>シホン</t>
    </rPh>
    <phoneticPr fontId="4"/>
  </si>
  <si>
    <t>自己資本</t>
    <rPh sb="0" eb="2">
      <t>ジコ</t>
    </rPh>
    <rPh sb="2" eb="4">
      <t>シホン</t>
    </rPh>
    <phoneticPr fontId="4"/>
  </si>
  <si>
    <t>WACC 加重平均</t>
    <rPh sb="5" eb="7">
      <t>カジュウ</t>
    </rPh>
    <rPh sb="7" eb="9">
      <t>ヘイキン</t>
    </rPh>
    <phoneticPr fontId="4"/>
  </si>
  <si>
    <t>←この手の端数になる所がイケカコのいやらしさ、苦手にする原因。</t>
    <rPh sb="3" eb="4">
      <t>テ</t>
    </rPh>
    <rPh sb="5" eb="7">
      <t>ハスウ</t>
    </rPh>
    <rPh sb="10" eb="11">
      <t>トコロ</t>
    </rPh>
    <rPh sb="23" eb="25">
      <t>ニガテ</t>
    </rPh>
    <rPh sb="28" eb="30">
      <t>ゲンイン</t>
    </rPh>
    <phoneticPr fontId="4"/>
  </si>
  <si>
    <t>経済的付加価値</t>
    <rPh sb="0" eb="3">
      <t>ケイザイテキ</t>
    </rPh>
    <rPh sb="3" eb="5">
      <t>フカ</t>
    </rPh>
    <rPh sb="5" eb="7">
      <t>カチ</t>
    </rPh>
    <phoneticPr fontId="4"/>
  </si>
  <si>
    <t>←イケカコ正解と合わせるため四捨五入</t>
    <rPh sb="5" eb="7">
      <t>セイカイ</t>
    </rPh>
    <rPh sb="8" eb="9">
      <t>ア</t>
    </rPh>
    <rPh sb="14" eb="18">
      <t>シシャゴニュウ</t>
    </rPh>
    <phoneticPr fontId="4"/>
  </si>
  <si>
    <t>※EVA計算では、資本コスト計算の対象が｢総資産－流動負債｣になることを、この問題で体得できる。</t>
    <rPh sb="4" eb="6">
      <t>ケイサン</t>
    </rPh>
    <rPh sb="9" eb="11">
      <t>シホン</t>
    </rPh>
    <rPh sb="14" eb="16">
      <t>ケイサン</t>
    </rPh>
    <rPh sb="17" eb="19">
      <t>タイショウ</t>
    </rPh>
    <rPh sb="21" eb="24">
      <t>ソウシサン</t>
    </rPh>
    <rPh sb="25" eb="27">
      <t>リュウドウ</t>
    </rPh>
    <rPh sb="27" eb="29">
      <t>フサイ</t>
    </rPh>
    <rPh sb="39" eb="41">
      <t>モンダイ</t>
    </rPh>
    <rPh sb="42" eb="44">
      <t>タイトク</t>
    </rPh>
    <phoneticPr fontId="4"/>
  </si>
  <si>
    <t>問4</t>
    <rPh sb="0" eb="1">
      <t>ト</t>
    </rPh>
    <phoneticPr fontId="4"/>
  </si>
  <si>
    <t>S部門</t>
    <rPh sb="1" eb="3">
      <t>ブモン</t>
    </rPh>
    <phoneticPr fontId="4"/>
  </si>
  <si>
    <t>投資案</t>
    <rPh sb="0" eb="2">
      <t>トウシ</t>
    </rPh>
    <rPh sb="2" eb="3">
      <t>アン</t>
    </rPh>
    <phoneticPr fontId="4"/>
  </si>
  <si>
    <t>総資産・投資額</t>
    <rPh sb="0" eb="3">
      <t>ソウシサン</t>
    </rPh>
    <rPh sb="4" eb="6">
      <t>トウシ</t>
    </rPh>
    <rPh sb="6" eb="7">
      <t>ガク</t>
    </rPh>
    <phoneticPr fontId="4"/>
  </si>
  <si>
    <t>税引前利益</t>
    <rPh sb="0" eb="2">
      <t>ゼイビキ</t>
    </rPh>
    <rPh sb="2" eb="3">
      <t>マエ</t>
    </rPh>
    <rPh sb="3" eb="5">
      <t>リエキ</t>
    </rPh>
    <phoneticPr fontId="4"/>
  </si>
  <si>
    <t>ROI</t>
    <phoneticPr fontId="4"/>
  </si>
  <si>
    <t>←利益率でみると、要求利益率10%を下回るため、棄却。</t>
    <rPh sb="1" eb="3">
      <t>リエキ</t>
    </rPh>
    <rPh sb="3" eb="4">
      <t>リツ</t>
    </rPh>
    <rPh sb="9" eb="11">
      <t>ヨウキュウ</t>
    </rPh>
    <rPh sb="11" eb="13">
      <t>リエキ</t>
    </rPh>
    <rPh sb="13" eb="14">
      <t>リツ</t>
    </rPh>
    <rPh sb="18" eb="20">
      <t>シタマワ</t>
    </rPh>
    <rPh sb="24" eb="26">
      <t>キキャク</t>
    </rPh>
    <phoneticPr fontId="4"/>
  </si>
  <si>
    <t>←残余利益でみるとプラスなので、投資案を採用。</t>
    <rPh sb="1" eb="3">
      <t>ザンヨ</t>
    </rPh>
    <rPh sb="3" eb="5">
      <t>リエキ</t>
    </rPh>
    <rPh sb="16" eb="18">
      <t>トウシ</t>
    </rPh>
    <rPh sb="18" eb="19">
      <t>アン</t>
    </rPh>
    <rPh sb="20" eb="22">
      <t>サイヨウ</t>
    </rPh>
    <phoneticPr fontId="4"/>
  </si>
  <si>
    <t>2限目 例題2、3限目 問題2</t>
    <rPh sb="1" eb="3">
      <t>ゲンメ</t>
    </rPh>
    <rPh sb="4" eb="6">
      <t>レイダイ</t>
    </rPh>
    <rPh sb="9" eb="11">
      <t>ゲンメ</t>
    </rPh>
    <rPh sb="12" eb="14">
      <t>モンダイ</t>
    </rPh>
    <phoneticPr fontId="4"/>
  </si>
  <si>
    <t>内部振替価格・・意思決定会計では、追加加工の応用論点であるが、診断士｢1次｣で出題実績がないため、当論点はパス。</t>
    <rPh sb="0" eb="2">
      <t>ナイブ</t>
    </rPh>
    <rPh sb="2" eb="4">
      <t>フリカエ</t>
    </rPh>
    <rPh sb="4" eb="6">
      <t>カカク</t>
    </rPh>
    <rPh sb="8" eb="10">
      <t>イシ</t>
    </rPh>
    <rPh sb="10" eb="12">
      <t>ケッテイ</t>
    </rPh>
    <rPh sb="12" eb="14">
      <t>カイケイ</t>
    </rPh>
    <rPh sb="17" eb="19">
      <t>ツイカ</t>
    </rPh>
    <rPh sb="19" eb="21">
      <t>カコウ</t>
    </rPh>
    <rPh sb="22" eb="24">
      <t>オウヨウ</t>
    </rPh>
    <rPh sb="24" eb="26">
      <t>ロンテン</t>
    </rPh>
    <rPh sb="31" eb="34">
      <t>シンダンシ</t>
    </rPh>
    <rPh sb="34" eb="38">
      <t>１ジ</t>
    </rPh>
    <rPh sb="39" eb="41">
      <t>シュツダイ</t>
    </rPh>
    <rPh sb="41" eb="43">
      <t>ジッセキ</t>
    </rPh>
    <rPh sb="49" eb="50">
      <t>トウ</t>
    </rPh>
    <rPh sb="50" eb="52">
      <t>ロンテン</t>
    </rPh>
    <phoneticPr fontId="4"/>
  </si>
  <si>
    <t>虫食い算の問題。あれこれ答えを探すことで、式を覚える効果があるけど・・。</t>
    <rPh sb="0" eb="2">
      <t>ムシク</t>
    </rPh>
    <rPh sb="3" eb="4">
      <t>ザン</t>
    </rPh>
    <rPh sb="5" eb="7">
      <t>モンダイ</t>
    </rPh>
    <rPh sb="12" eb="13">
      <t>コタ</t>
    </rPh>
    <rPh sb="15" eb="16">
      <t>サガ</t>
    </rPh>
    <rPh sb="21" eb="22">
      <t>シキ</t>
    </rPh>
    <rPh sb="23" eb="24">
      <t>オボ</t>
    </rPh>
    <rPh sb="26" eb="28">
      <t>コウカ</t>
    </rPh>
    <phoneticPr fontId="4"/>
  </si>
  <si>
    <t>A</t>
    <phoneticPr fontId="4"/>
  </si>
  <si>
    <t>B</t>
    <phoneticPr fontId="4"/>
  </si>
  <si>
    <t>C</t>
    <phoneticPr fontId="4"/>
  </si>
  <si>
    <t>管理可能利益</t>
    <rPh sb="0" eb="2">
      <t>カンリ</t>
    </rPh>
    <rPh sb="2" eb="4">
      <t>カノウ</t>
    </rPh>
    <rPh sb="4" eb="6">
      <t>リエキ</t>
    </rPh>
    <phoneticPr fontId="4"/>
  </si>
  <si>
    <t>売上高利益率 %</t>
    <rPh sb="0" eb="2">
      <t>ウリアゲ</t>
    </rPh>
    <rPh sb="2" eb="3">
      <t>ダカ</t>
    </rPh>
    <rPh sb="3" eb="5">
      <t>リエキ</t>
    </rPh>
    <rPh sb="5" eb="6">
      <t>リツ</t>
    </rPh>
    <phoneticPr fontId="4"/>
  </si>
  <si>
    <t>資本回転率 回</t>
    <rPh sb="0" eb="2">
      <t>シホン</t>
    </rPh>
    <rPh sb="2" eb="4">
      <t>カイテン</t>
    </rPh>
    <rPh sb="4" eb="5">
      <t>リツ</t>
    </rPh>
    <rPh sb="6" eb="7">
      <t>カイ</t>
    </rPh>
    <phoneticPr fontId="4"/>
  </si>
  <si>
    <t>ROI ％</t>
    <phoneticPr fontId="4"/>
  </si>
  <si>
    <t>虫食い算は手計算で解けるように作ってある。</t>
    <rPh sb="0" eb="2">
      <t>ムシク</t>
    </rPh>
    <rPh sb="3" eb="4">
      <t>ザン</t>
    </rPh>
    <rPh sb="5" eb="6">
      <t>テ</t>
    </rPh>
    <rPh sb="6" eb="8">
      <t>ケイサン</t>
    </rPh>
    <rPh sb="9" eb="10">
      <t>ト</t>
    </rPh>
    <rPh sb="15" eb="16">
      <t>ツク</t>
    </rPh>
    <phoneticPr fontId="4"/>
  </si>
  <si>
    <t>しかしエクセル解けば時間がかからず、関数を作りながら何を使うか覚えられるので、一石二鳥。</t>
    <rPh sb="7" eb="8">
      <t>ト</t>
    </rPh>
    <rPh sb="10" eb="12">
      <t>ジカン</t>
    </rPh>
    <rPh sb="18" eb="20">
      <t>カンスウ</t>
    </rPh>
    <rPh sb="21" eb="22">
      <t>ツク</t>
    </rPh>
    <rPh sb="26" eb="27">
      <t>ナニ</t>
    </rPh>
    <rPh sb="28" eb="29">
      <t>ツカ</t>
    </rPh>
    <rPh sb="31" eb="32">
      <t>オボ</t>
    </rPh>
    <rPh sb="39" eb="43">
      <t>イッセキニチョウ</t>
    </rPh>
    <phoneticPr fontId="4"/>
  </si>
  <si>
    <t>問4</t>
    <rPh sb="0" eb="1">
      <t>トイ</t>
    </rPh>
    <phoneticPr fontId="4"/>
  </si>
  <si>
    <t>菓子</t>
    <rPh sb="0" eb="2">
      <t>カシ</t>
    </rPh>
    <phoneticPr fontId="4"/>
  </si>
  <si>
    <t>飲料</t>
    <rPh sb="0" eb="2">
      <t>インリョウ</t>
    </rPh>
    <phoneticPr fontId="4"/>
  </si>
  <si>
    <t>医薬品</t>
    <rPh sb="0" eb="3">
      <t>イヤクヒン</t>
    </rPh>
    <phoneticPr fontId="4"/>
  </si>
  <si>
    <t>外食</t>
    <rPh sb="0" eb="2">
      <t>ガイショク</t>
    </rPh>
    <phoneticPr fontId="4"/>
  </si>
  <si>
    <t>投下資本</t>
    <rPh sb="0" eb="2">
      <t>トウカ</t>
    </rPh>
    <rPh sb="2" eb="4">
      <t>シホン</t>
    </rPh>
    <phoneticPr fontId="4"/>
  </si>
  <si>
    <t>社債</t>
    <rPh sb="0" eb="2">
      <t>シャサイ</t>
    </rPh>
    <phoneticPr fontId="4"/>
  </si>
  <si>
    <t>株式</t>
    <rPh sb="0" eb="2">
      <t>カブシキ</t>
    </rPh>
    <phoneticPr fontId="4"/>
  </si>
  <si>
    <t>問1</t>
    <rPh sb="0" eb="1">
      <t>トイ</t>
    </rPh>
    <phoneticPr fontId="4"/>
  </si>
  <si>
    <t>EVA</t>
    <phoneticPr fontId="4"/>
  </si>
  <si>
    <t>問2</t>
    <rPh sb="0" eb="1">
      <t>トイ</t>
    </rPh>
    <phoneticPr fontId="4"/>
  </si>
  <si>
    <t>投下資本コスト</t>
    <rPh sb="0" eb="2">
      <t>トウカ</t>
    </rPh>
    <rPh sb="2" eb="4">
      <t>シホン</t>
    </rPh>
    <phoneticPr fontId="4"/>
  </si>
  <si>
    <t>÷0.6</t>
    <phoneticPr fontId="4"/>
  </si>
  <si>
    <t>=必要税前利益</t>
    <rPh sb="5" eb="7">
      <t>リエキ</t>
    </rPh>
    <phoneticPr fontId="4"/>
  </si>
  <si>
    <t>問3</t>
    <rPh sb="0" eb="1">
      <t>トイ</t>
    </rPh>
    <phoneticPr fontId="4"/>
  </si>
  <si>
    <t>・・EVAがマイナスとなるため、この計画を実施すべきでない。</t>
    <rPh sb="18" eb="20">
      <t>ケイカク</t>
    </rPh>
    <rPh sb="21" eb="23">
      <t>ジッシ</t>
    </rPh>
    <phoneticPr fontId="4"/>
  </si>
  <si>
    <t>Lecture 3CVP分析(応用) ～多品種製品のCVP分析、セールスミックス～</t>
    <rPh sb="12" eb="14">
      <t>ブンセキ</t>
    </rPh>
    <rPh sb="15" eb="17">
      <t>オウヨウ</t>
    </rPh>
    <rPh sb="20" eb="23">
      <t>タヒンシュ</t>
    </rPh>
    <rPh sb="23" eb="25">
      <t>セイヒン</t>
    </rPh>
    <rPh sb="29" eb="31">
      <t>ブンセキ</t>
    </rPh>
    <phoneticPr fontId="4"/>
  </si>
  <si>
    <t>組製品・・1つの組として単価を求め、CVP分析に進む。</t>
    <rPh sb="0" eb="1">
      <t>クミ</t>
    </rPh>
    <rPh sb="1" eb="3">
      <t>セイヒン</t>
    </rPh>
    <rPh sb="8" eb="9">
      <t>クミ</t>
    </rPh>
    <rPh sb="12" eb="14">
      <t>タンカ</t>
    </rPh>
    <rPh sb="15" eb="16">
      <t>モト</t>
    </rPh>
    <rPh sb="21" eb="23">
      <t>ブンセキ</t>
    </rPh>
    <rPh sb="24" eb="25">
      <t>スス</t>
    </rPh>
    <phoneticPr fontId="4"/>
  </si>
  <si>
    <t>問１、2</t>
    <rPh sb="0" eb="1">
      <t>ト</t>
    </rPh>
    <phoneticPr fontId="4"/>
  </si>
  <si>
    <t>P</t>
    <phoneticPr fontId="4"/>
  </si>
  <si>
    <t>Q</t>
    <phoneticPr fontId="4"/>
  </si>
  <si>
    <t>R</t>
    <phoneticPr fontId="4"/>
  </si>
  <si>
    <t>組単価</t>
    <rPh sb="0" eb="1">
      <t>クミ</t>
    </rPh>
    <rPh sb="1" eb="3">
      <t>タンカ</t>
    </rPh>
    <phoneticPr fontId="4"/>
  </si>
  <si>
    <t>単位売価</t>
    <rPh sb="0" eb="2">
      <t>タンイ</t>
    </rPh>
    <rPh sb="2" eb="4">
      <t>バイカ</t>
    </rPh>
    <phoneticPr fontId="4"/>
  </si>
  <si>
    <t>単位V</t>
    <rPh sb="0" eb="2">
      <t>タンイ</t>
    </rPh>
    <phoneticPr fontId="4"/>
  </si>
  <si>
    <t>単位CM</t>
    <rPh sb="0" eb="2">
      <t>タンイ</t>
    </rPh>
    <phoneticPr fontId="4"/>
  </si>
  <si>
    <t>セールスミックス</t>
    <phoneticPr fontId="4"/>
  </si>
  <si>
    <t>共通固定費</t>
    <rPh sb="0" eb="2">
      <t>キョウツウ</t>
    </rPh>
    <rPh sb="2" eb="5">
      <t>コテイヒ</t>
    </rPh>
    <phoneticPr fontId="4"/>
  </si>
  <si>
    <t>SBEP</t>
    <phoneticPr fontId="4"/>
  </si>
  <si>
    <t>セールスミックス・制約条件単位当たりCMが大きいものから作る。</t>
    <rPh sb="9" eb="11">
      <t>セイヤク</t>
    </rPh>
    <rPh sb="11" eb="13">
      <t>ジョウケン</t>
    </rPh>
    <rPh sb="13" eb="15">
      <t>タンイ</t>
    </rPh>
    <rPh sb="15" eb="16">
      <t>ア</t>
    </rPh>
    <rPh sb="21" eb="22">
      <t>オオ</t>
    </rPh>
    <rPh sb="28" eb="29">
      <t>ツク</t>
    </rPh>
    <phoneticPr fontId="4"/>
  </si>
  <si>
    <t>X</t>
    <phoneticPr fontId="4"/>
  </si>
  <si>
    <t>Y</t>
    <phoneticPr fontId="4"/>
  </si>
  <si>
    <t>制約条件・・機械時間</t>
    <rPh sb="0" eb="2">
      <t>セイヤク</t>
    </rPh>
    <rPh sb="2" eb="4">
      <t>ジョウケン</t>
    </rPh>
    <rPh sb="6" eb="8">
      <t>キカイ</t>
    </rPh>
    <rPh sb="8" eb="10">
      <t>ジカン</t>
    </rPh>
    <phoneticPr fontId="4"/>
  </si>
  <si>
    <t>必要時間</t>
    <rPh sb="0" eb="2">
      <t>ヒツヨウ</t>
    </rPh>
    <rPh sb="2" eb="4">
      <t>ジカン</t>
    </rPh>
    <phoneticPr fontId="4"/>
  </si>
  <si>
    <t>制約条件あたりCM</t>
    <rPh sb="0" eb="2">
      <t>セイヤク</t>
    </rPh>
    <rPh sb="2" eb="4">
      <t>ジョウケン</t>
    </rPh>
    <phoneticPr fontId="4"/>
  </si>
  <si>
    <t>作る順位</t>
    <rPh sb="0" eb="1">
      <t>ツク</t>
    </rPh>
    <rPh sb="2" eb="4">
      <t>ジュンイ</t>
    </rPh>
    <phoneticPr fontId="4"/>
  </si>
  <si>
    <t>③</t>
    <phoneticPr fontId="4"/>
  </si>
  <si>
    <t>②</t>
    <phoneticPr fontId="4"/>
  </si>
  <si>
    <t>①</t>
    <phoneticPr fontId="4"/>
  </si>
  <si>
    <t>予想需要</t>
    <rPh sb="0" eb="2">
      <t>ヨソウ</t>
    </rPh>
    <rPh sb="2" eb="4">
      <t>ジュヨウ</t>
    </rPh>
    <phoneticPr fontId="4"/>
  </si>
  <si>
    <t>製造計画量</t>
    <rPh sb="0" eb="2">
      <t>セイゾウ</t>
    </rPh>
    <rPh sb="2" eb="4">
      <t>ケイカク</t>
    </rPh>
    <rPh sb="4" eb="5">
      <t>リョウ</t>
    </rPh>
    <phoneticPr fontId="4"/>
  </si>
  <si>
    <t>消費時間</t>
    <rPh sb="0" eb="2">
      <t>ショウヒ</t>
    </rPh>
    <rPh sb="2" eb="4">
      <t>ジカン</t>
    </rPh>
    <phoneticPr fontId="4"/>
  </si>
  <si>
    <t>↑①まず400個作る</t>
    <rPh sb="7" eb="8">
      <t>コ</t>
    </rPh>
    <rPh sb="8" eb="9">
      <t>ツク</t>
    </rPh>
    <phoneticPr fontId="4"/>
  </si>
  <si>
    <t>↑②次に400個作る</t>
    <rPh sb="2" eb="3">
      <t>ツギ</t>
    </rPh>
    <rPh sb="7" eb="8">
      <t>コ</t>
    </rPh>
    <rPh sb="8" eb="9">
      <t>ツク</t>
    </rPh>
    <phoneticPr fontId="4"/>
  </si>
  <si>
    <t>↑③機械時間の制約から、200個しか作れない</t>
    <rPh sb="2" eb="4">
      <t>キカイ</t>
    </rPh>
    <rPh sb="4" eb="6">
      <t>ジカン</t>
    </rPh>
    <rPh sb="7" eb="9">
      <t>セイヤク</t>
    </rPh>
    <rPh sb="15" eb="16">
      <t>コ</t>
    </rPh>
    <rPh sb="18" eb="19">
      <t>ツク</t>
    </rPh>
    <phoneticPr fontId="4"/>
  </si>
  <si>
    <t>2限目 例題3</t>
    <rPh sb="1" eb="3">
      <t>ゲンメ</t>
    </rPh>
    <rPh sb="4" eb="6">
      <t>レイダイ</t>
    </rPh>
    <phoneticPr fontId="4"/>
  </si>
  <si>
    <t>線形計画法LP (Lenior Planning) ・・生産可能領域のグラフを描き、境界線上、でっぱりの点が最も儲かるだろうと仮定し、試行錯誤で限界利益の最高額を求める。</t>
    <rPh sb="0" eb="2">
      <t>センケイ</t>
    </rPh>
    <rPh sb="2" eb="5">
      <t>ケイカクホウ</t>
    </rPh>
    <rPh sb="28" eb="30">
      <t>セイサン</t>
    </rPh>
    <rPh sb="30" eb="32">
      <t>カノウ</t>
    </rPh>
    <rPh sb="32" eb="34">
      <t>リョウイキ</t>
    </rPh>
    <rPh sb="39" eb="40">
      <t>カ</t>
    </rPh>
    <rPh sb="42" eb="45">
      <t>キョウカイセン</t>
    </rPh>
    <rPh sb="45" eb="46">
      <t>ジョウ</t>
    </rPh>
    <rPh sb="52" eb="53">
      <t>テン</t>
    </rPh>
    <rPh sb="54" eb="55">
      <t>モット</t>
    </rPh>
    <rPh sb="56" eb="57">
      <t>モウ</t>
    </rPh>
    <rPh sb="63" eb="65">
      <t>カテイ</t>
    </rPh>
    <rPh sb="67" eb="69">
      <t>シコウ</t>
    </rPh>
    <rPh sb="69" eb="71">
      <t>サクゴ</t>
    </rPh>
    <rPh sb="72" eb="74">
      <t>ゲンカイ</t>
    </rPh>
    <rPh sb="74" eb="76">
      <t>リエキ</t>
    </rPh>
    <rPh sb="77" eb="80">
      <t>サイコウガク</t>
    </rPh>
    <rPh sb="81" eb="82">
      <t>モト</t>
    </rPh>
    <phoneticPr fontId="4"/>
  </si>
  <si>
    <t>エクセルでグラフ描くのは時間かかるので不向き。</t>
    <rPh sb="8" eb="9">
      <t>カ</t>
    </rPh>
    <rPh sb="12" eb="14">
      <t>ジカン</t>
    </rPh>
    <rPh sb="19" eb="21">
      <t>フム</t>
    </rPh>
    <phoneticPr fontId="4"/>
  </si>
  <si>
    <t>ここはテキスト参照で。</t>
    <rPh sb="7" eb="9">
      <t>サンショウ</t>
    </rPh>
    <phoneticPr fontId="4"/>
  </si>
  <si>
    <r>
      <t>資料2の条件変化、限界利益率の端数処理が面倒だが、</t>
    </r>
    <r>
      <rPr>
        <b/>
        <sz val="10"/>
        <color rgb="FF0000FF"/>
        <rFont val="游ゴシック"/>
        <family val="3"/>
        <charset val="128"/>
        <scheme val="minor"/>
      </rPr>
      <t>組製品＋CVP＋最適セールスミックスをまとめて問う良問</t>
    </r>
    <rPh sb="0" eb="2">
      <t>シリョウ</t>
    </rPh>
    <rPh sb="4" eb="6">
      <t>ジョウケン</t>
    </rPh>
    <rPh sb="6" eb="8">
      <t>ヘンカ</t>
    </rPh>
    <rPh sb="9" eb="11">
      <t>ゲンカイ</t>
    </rPh>
    <rPh sb="11" eb="13">
      <t>リエキ</t>
    </rPh>
    <rPh sb="13" eb="14">
      <t>リツ</t>
    </rPh>
    <rPh sb="15" eb="17">
      <t>ハスウ</t>
    </rPh>
    <rPh sb="17" eb="19">
      <t>ショリ</t>
    </rPh>
    <rPh sb="20" eb="22">
      <t>メンドウ</t>
    </rPh>
    <rPh sb="25" eb="26">
      <t>クミ</t>
    </rPh>
    <rPh sb="26" eb="28">
      <t>セイヒン</t>
    </rPh>
    <rPh sb="33" eb="35">
      <t>サイテキ</t>
    </rPh>
    <rPh sb="48" eb="49">
      <t>ト</t>
    </rPh>
    <rPh sb="50" eb="51">
      <t>リョウ</t>
    </rPh>
    <rPh sb="51" eb="52">
      <t>モン</t>
    </rPh>
    <phoneticPr fontId="4"/>
  </si>
  <si>
    <t>資料1</t>
    <rPh sb="0" eb="2">
      <t>シリョウ</t>
    </rPh>
    <phoneticPr fontId="4"/>
  </si>
  <si>
    <t>a</t>
    <phoneticPr fontId="4"/>
  </si>
  <si>
    <t>b</t>
    <phoneticPr fontId="4"/>
  </si>
  <si>
    <t>c</t>
    <phoneticPr fontId="4"/>
  </si>
  <si>
    <t>組製品</t>
    <rPh sb="0" eb="1">
      <t>クミ</t>
    </rPh>
    <rPh sb="1" eb="3">
      <t>セイヒン</t>
    </rPh>
    <phoneticPr fontId="4"/>
  </si>
  <si>
    <t>予想売上高</t>
    <rPh sb="0" eb="2">
      <t>ヨソウ</t>
    </rPh>
    <rPh sb="2" eb="4">
      <t>ウリアゲ</t>
    </rPh>
    <rPh sb="4" eb="5">
      <t>ダカ</t>
    </rPh>
    <phoneticPr fontId="4"/>
  </si>
  <si>
    <t>Z材料費</t>
    <rPh sb="1" eb="4">
      <t>ザイリョウヒ</t>
    </rPh>
    <phoneticPr fontId="4"/>
  </si>
  <si>
    <t>組数</t>
    <rPh sb="0" eb="2">
      <t>クミスウ</t>
    </rPh>
    <phoneticPr fontId="4"/>
  </si>
  <si>
    <t>R労務費</t>
    <rPh sb="1" eb="4">
      <t>ロウムヒ</t>
    </rPh>
    <phoneticPr fontId="4"/>
  </si>
  <si>
    <t>K製造間接費</t>
    <rPh sb="1" eb="3">
      <t>セイゾウ</t>
    </rPh>
    <rPh sb="3" eb="5">
      <t>カンセツ</t>
    </rPh>
    <rPh sb="5" eb="6">
      <t>ヒ</t>
    </rPh>
    <phoneticPr fontId="4"/>
  </si>
  <si>
    <t>S販売費</t>
    <rPh sb="1" eb="4">
      <t>ハンバイヒ</t>
    </rPh>
    <phoneticPr fontId="4"/>
  </si>
  <si>
    <t>販売量比</t>
    <rPh sb="0" eb="2">
      <t>ハンバイ</t>
    </rPh>
    <rPh sb="2" eb="3">
      <t>リョウ</t>
    </rPh>
    <rPh sb="3" eb="4">
      <t>ヒ</t>
    </rPh>
    <phoneticPr fontId="4"/>
  </si>
  <si>
    <t>CM限界利益</t>
    <rPh sb="2" eb="4">
      <t>ゲンカイ</t>
    </rPh>
    <rPh sb="4" eb="6">
      <t>リエキ</t>
    </rPh>
    <phoneticPr fontId="4"/>
  </si>
  <si>
    <t>限界利益額</t>
    <rPh sb="0" eb="2">
      <t>ゲンカイ</t>
    </rPh>
    <rPh sb="2" eb="4">
      <t>リエキ</t>
    </rPh>
    <rPh sb="4" eb="5">
      <t>ガク</t>
    </rPh>
    <phoneticPr fontId="4"/>
  </si>
  <si>
    <t>FK固定製造間接費</t>
    <rPh sb="2" eb="4">
      <t>コテイ</t>
    </rPh>
    <rPh sb="4" eb="6">
      <t>セイゾウ</t>
    </rPh>
    <rPh sb="6" eb="8">
      <t>カンセツ</t>
    </rPh>
    <rPh sb="8" eb="9">
      <t>ヒ</t>
    </rPh>
    <phoneticPr fontId="4"/>
  </si>
  <si>
    <t>営業利益額</t>
    <rPh sb="0" eb="2">
      <t>エイギョウ</t>
    </rPh>
    <rPh sb="2" eb="4">
      <t>リエキ</t>
    </rPh>
    <rPh sb="4" eb="5">
      <t>ガク</t>
    </rPh>
    <phoneticPr fontId="4"/>
  </si>
  <si>
    <t>FS固定販売費</t>
    <rPh sb="2" eb="4">
      <t>コテイ</t>
    </rPh>
    <rPh sb="4" eb="7">
      <t>ハンバイヒ</t>
    </rPh>
    <phoneticPr fontId="4"/>
  </si>
  <si>
    <t>FG固定販管費</t>
    <rPh sb="2" eb="4">
      <t>コテイ</t>
    </rPh>
    <rPh sb="4" eb="7">
      <t>ハンカンヒ</t>
    </rPh>
    <phoneticPr fontId="4"/>
  </si>
  <si>
    <t>安全率</t>
    <rPh sb="0" eb="2">
      <t>アンゼン</t>
    </rPh>
    <rPh sb="2" eb="3">
      <t>リツ</t>
    </rPh>
    <phoneticPr fontId="4"/>
  </si>
  <si>
    <t>資料2</t>
    <rPh sb="0" eb="2">
      <t>シリョウ</t>
    </rPh>
    <phoneticPr fontId="4"/>
  </si>
  <si>
    <t>ｄ</t>
    <phoneticPr fontId="4"/>
  </si>
  <si>
    <t>増加額</t>
    <rPh sb="0" eb="2">
      <t>ゾウカ</t>
    </rPh>
    <rPh sb="2" eb="3">
      <t>ガク</t>
    </rPh>
    <phoneticPr fontId="4"/>
  </si>
  <si>
    <t>SBEP数</t>
    <rPh sb="4" eb="5">
      <t>スウ</t>
    </rPh>
    <phoneticPr fontId="4"/>
  </si>
  <si>
    <t>セット</t>
    <phoneticPr fontId="4"/>
  </si>
  <si>
    <t>問3  問２の条件を元に戻し、制約条件あたりCMからセールスミックスを考える。</t>
    <rPh sb="0" eb="1">
      <t>ト</t>
    </rPh>
    <rPh sb="4" eb="5">
      <t>トイ</t>
    </rPh>
    <rPh sb="7" eb="9">
      <t>ジョウケン</t>
    </rPh>
    <rPh sb="10" eb="11">
      <t>モト</t>
    </rPh>
    <rPh sb="12" eb="13">
      <t>モド</t>
    </rPh>
    <rPh sb="15" eb="17">
      <t>セイヤク</t>
    </rPh>
    <rPh sb="17" eb="19">
      <t>ジョウケン</t>
    </rPh>
    <rPh sb="35" eb="36">
      <t>カンガ</t>
    </rPh>
    <phoneticPr fontId="4"/>
  </si>
  <si>
    <t>材料の上限</t>
    <rPh sb="0" eb="2">
      <t>ザイリョウ</t>
    </rPh>
    <rPh sb="3" eb="5">
      <t>ジョウゲン</t>
    </rPh>
    <phoneticPr fontId="4"/>
  </si>
  <si>
    <t>使用量</t>
    <rPh sb="0" eb="2">
      <t>シヨウ</t>
    </rPh>
    <rPh sb="2" eb="3">
      <t>リョウ</t>
    </rPh>
    <phoneticPr fontId="4"/>
  </si>
  <si>
    <t>需要量</t>
    <rPh sb="0" eb="2">
      <t>ジュヨウ</t>
    </rPh>
    <rPh sb="2" eb="3">
      <t>リョウ</t>
    </rPh>
    <phoneticPr fontId="4"/>
  </si>
  <si>
    <t>生産順</t>
    <rPh sb="0" eb="2">
      <t>セイサン</t>
    </rPh>
    <rPh sb="2" eb="3">
      <t>ジュン</t>
    </rPh>
    <phoneticPr fontId="4"/>
  </si>
  <si>
    <t>④</t>
    <phoneticPr fontId="4"/>
  </si>
  <si>
    <t>生産量</t>
    <rPh sb="0" eb="2">
      <t>セイサン</t>
    </rPh>
    <rPh sb="2" eb="3">
      <t>リョウ</t>
    </rPh>
    <phoneticPr fontId="4"/>
  </si>
  <si>
    <t>消費材料量</t>
    <rPh sb="0" eb="2">
      <t>ショウヒ</t>
    </rPh>
    <rPh sb="2" eb="4">
      <t>ザイリョウ</t>
    </rPh>
    <rPh sb="4" eb="5">
      <t>リョウ</t>
    </rPh>
    <phoneticPr fontId="4"/>
  </si>
  <si>
    <t>問1 :組製品</t>
    <rPh sb="0" eb="1">
      <t>ト</t>
    </rPh>
    <rPh sb="4" eb="5">
      <t>クミ</t>
    </rPh>
    <rPh sb="5" eb="7">
      <t>セイヒン</t>
    </rPh>
    <phoneticPr fontId="4"/>
  </si>
  <si>
    <t>販売比</t>
    <rPh sb="0" eb="2">
      <t>ハンバイ</t>
    </rPh>
    <rPh sb="2" eb="3">
      <t>ヒ</t>
    </rPh>
    <phoneticPr fontId="4"/>
  </si>
  <si>
    <t>問2 :組製品+目標利益</t>
    <rPh sb="0" eb="1">
      <t>ト</t>
    </rPh>
    <rPh sb="4" eb="5">
      <t>クミ</t>
    </rPh>
    <rPh sb="5" eb="7">
      <t>セイヒン</t>
    </rPh>
    <rPh sb="8" eb="10">
      <t>モクヒョウ</t>
    </rPh>
    <rPh sb="10" eb="12">
      <t>リエキ</t>
    </rPh>
    <phoneticPr fontId="4"/>
  </si>
  <si>
    <t>目標営業利益</t>
    <rPh sb="0" eb="2">
      <t>モクヒョウ</t>
    </rPh>
    <rPh sb="2" eb="4">
      <t>エイギョウ</t>
    </rPh>
    <rPh sb="4" eb="6">
      <t>リエキ</t>
    </rPh>
    <phoneticPr fontId="4"/>
  </si>
  <si>
    <t>目標売上数</t>
    <rPh sb="0" eb="2">
      <t>モクヒョウ</t>
    </rPh>
    <rPh sb="2" eb="4">
      <t>ウリアゲ</t>
    </rPh>
    <rPh sb="4" eb="5">
      <t>スウ</t>
    </rPh>
    <phoneticPr fontId="4"/>
  </si>
  <si>
    <t>問3: 線形計画法(2条件、基本)・・2部門の製造能力時間が与えられたため、方程式(グラフ)を書いてベストミックスを決める</t>
    <rPh sb="0" eb="1">
      <t>ト</t>
    </rPh>
    <rPh sb="4" eb="6">
      <t>センケイ</t>
    </rPh>
    <rPh sb="6" eb="9">
      <t>ケイカクホウ</t>
    </rPh>
    <rPh sb="11" eb="13">
      <t>ジョウケン</t>
    </rPh>
    <rPh sb="14" eb="16">
      <t>キホン</t>
    </rPh>
    <rPh sb="20" eb="22">
      <t>ブモン</t>
    </rPh>
    <rPh sb="23" eb="25">
      <t>セイゾウ</t>
    </rPh>
    <rPh sb="25" eb="27">
      <t>ノウリョク</t>
    </rPh>
    <rPh sb="27" eb="29">
      <t>ジカン</t>
    </rPh>
    <rPh sb="30" eb="31">
      <t>アタ</t>
    </rPh>
    <rPh sb="38" eb="41">
      <t>ホウテイシキ</t>
    </rPh>
    <rPh sb="47" eb="48">
      <t>カ</t>
    </rPh>
    <rPh sb="58" eb="59">
      <t>キ</t>
    </rPh>
    <phoneticPr fontId="4"/>
  </si>
  <si>
    <t>加工部</t>
    <rPh sb="0" eb="2">
      <t>カコウ</t>
    </rPh>
    <rPh sb="2" eb="3">
      <t>ブ</t>
    </rPh>
    <phoneticPr fontId="4"/>
  </si>
  <si>
    <t>３X</t>
    <phoneticPr fontId="4"/>
  </si>
  <si>
    <t>＋Y</t>
    <phoneticPr fontId="4"/>
  </si>
  <si>
    <t>＝１５００</t>
    <phoneticPr fontId="4"/>
  </si>
  <si>
    <t>組立部</t>
    <rPh sb="0" eb="2">
      <t>クミタテ</t>
    </rPh>
    <rPh sb="2" eb="3">
      <t>ブ</t>
    </rPh>
    <phoneticPr fontId="4"/>
  </si>
  <si>
    <t>＋2Y</t>
    <phoneticPr fontId="4"/>
  </si>
  <si>
    <t>＝１0００</t>
    <phoneticPr fontId="4"/>
  </si>
  <si>
    <t>この方程式を解くと</t>
    <rPh sb="2" eb="5">
      <t>ホウテイシキ</t>
    </rPh>
    <rPh sb="6" eb="7">
      <t>ト</t>
    </rPh>
    <phoneticPr fontId="4"/>
  </si>
  <si>
    <t>問4: 線形計画法(3条件。出るのはこちら)・・制約条件が2つある場合、グラフを描いて、端点の組み合わせの限界利益額を、試行錯誤で求める</t>
    <rPh sb="0" eb="1">
      <t>ト</t>
    </rPh>
    <rPh sb="4" eb="6">
      <t>センケイ</t>
    </rPh>
    <rPh sb="6" eb="9">
      <t>ケイカクホウ</t>
    </rPh>
    <rPh sb="11" eb="13">
      <t>ジョウケン</t>
    </rPh>
    <rPh sb="14" eb="15">
      <t>デ</t>
    </rPh>
    <rPh sb="24" eb="26">
      <t>セイヤク</t>
    </rPh>
    <rPh sb="26" eb="28">
      <t>ジョウケン</t>
    </rPh>
    <rPh sb="33" eb="35">
      <t>バアイ</t>
    </rPh>
    <rPh sb="40" eb="41">
      <t>カ</t>
    </rPh>
    <rPh sb="44" eb="45">
      <t>ハジ</t>
    </rPh>
    <rPh sb="45" eb="46">
      <t>テン</t>
    </rPh>
    <rPh sb="47" eb="48">
      <t>ク</t>
    </rPh>
    <rPh sb="49" eb="50">
      <t>ア</t>
    </rPh>
    <rPh sb="53" eb="55">
      <t>ゲンカイ</t>
    </rPh>
    <rPh sb="55" eb="57">
      <t>リエキ</t>
    </rPh>
    <rPh sb="57" eb="58">
      <t>ガク</t>
    </rPh>
    <rPh sb="60" eb="62">
      <t>シコウ</t>
    </rPh>
    <rPh sb="62" eb="64">
      <t>サクゴ</t>
    </rPh>
    <rPh sb="65" eb="66">
      <t>モト</t>
    </rPh>
    <phoneticPr fontId="4"/>
  </si>
  <si>
    <t>グラフ・・作成省略。イケカコP.146 解説参照</t>
    <rPh sb="5" eb="7">
      <t>サクセイ</t>
    </rPh>
    <rPh sb="7" eb="9">
      <t>ショウリャク</t>
    </rPh>
    <rPh sb="20" eb="22">
      <t>カイセツ</t>
    </rPh>
    <rPh sb="22" eb="24">
      <t>サンショウ</t>
    </rPh>
    <phoneticPr fontId="4"/>
  </si>
  <si>
    <t>※注)線形計画法は、与えられた条件からグラフを描き、端点を求めることがハイライト。あとは試行錯誤するだけ。</t>
    <rPh sb="1" eb="2">
      <t>チュウ</t>
    </rPh>
    <rPh sb="3" eb="5">
      <t>センケイ</t>
    </rPh>
    <rPh sb="5" eb="8">
      <t>ケイカクホウ</t>
    </rPh>
    <rPh sb="10" eb="11">
      <t>アタ</t>
    </rPh>
    <rPh sb="15" eb="17">
      <t>ジョウケン</t>
    </rPh>
    <rPh sb="23" eb="24">
      <t>カ</t>
    </rPh>
    <rPh sb="26" eb="27">
      <t>ハジ</t>
    </rPh>
    <rPh sb="27" eb="28">
      <t>テン</t>
    </rPh>
    <rPh sb="29" eb="30">
      <t>モト</t>
    </rPh>
    <rPh sb="44" eb="46">
      <t>シコウ</t>
    </rPh>
    <rPh sb="46" eb="48">
      <t>サクゴ</t>
    </rPh>
    <phoneticPr fontId="4"/>
  </si>
  <si>
    <t>数量</t>
    <rPh sb="0" eb="2">
      <t>スウリョウ</t>
    </rPh>
    <phoneticPr fontId="4"/>
  </si>
  <si>
    <t>端点A</t>
    <rPh sb="0" eb="1">
      <t>ハジ</t>
    </rPh>
    <rPh sb="1" eb="2">
      <t>テン</t>
    </rPh>
    <phoneticPr fontId="4"/>
  </si>
  <si>
    <t>端点B</t>
    <rPh sb="0" eb="1">
      <t>ハジ</t>
    </rPh>
    <rPh sb="1" eb="2">
      <t>テン</t>
    </rPh>
    <phoneticPr fontId="4"/>
  </si>
  <si>
    <t>←この組み合わせが、営業利益を最大にする</t>
    <rPh sb="3" eb="4">
      <t>ク</t>
    </rPh>
    <rPh sb="5" eb="6">
      <t>ア</t>
    </rPh>
    <rPh sb="10" eb="12">
      <t>エイギョウ</t>
    </rPh>
    <rPh sb="12" eb="14">
      <t>リエキ</t>
    </rPh>
    <rPh sb="15" eb="17">
      <t>サイダイ</t>
    </rPh>
    <phoneticPr fontId="4"/>
  </si>
  <si>
    <t>端点C</t>
    <rPh sb="0" eb="1">
      <t>ハジ</t>
    </rPh>
    <rPh sb="1" eb="2">
      <t>テン</t>
    </rPh>
    <phoneticPr fontId="4"/>
  </si>
  <si>
    <t>端点D</t>
    <rPh sb="0" eb="1">
      <t>ハジ</t>
    </rPh>
    <rPh sb="1" eb="2">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</si>
</sst>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
    <numFmt numFmtId="178" formatCode="#,##0.0;[Red]\-#,##0.0"/>
  </numFmts>
  <fonts count="17">
    <font>
      <sz val="10"/>
      <color theme="1"/>
      <name val="游ゴシック"/>
      <family val="2"/>
      <charset val="128"/>
      <scheme val="minor"/>
    </font>
    <font>
      <sz val="10"/>
      <color theme="1"/>
      <name val="游ゴシック"/>
      <family val="2"/>
      <charset val="128"/>
      <scheme val="minor"/>
    </font>
    <font>
      <b/>
      <sz val="10"/>
      <color rgb="FF3F3F3F"/>
      <name val="游ゴシック"/>
      <family val="2"/>
      <charset val="128"/>
      <scheme val="minor"/>
    </font>
    <font>
      <sz val="10"/>
      <color rgb="FFFF0000"/>
      <name val="游ゴシック"/>
      <family val="2"/>
      <charset val="128"/>
      <scheme val="minor"/>
    </font>
    <font>
      <sz val="6"/>
      <name val="游ゴシック"/>
      <family val="2"/>
      <charset val="128"/>
      <scheme val="minor"/>
    </font>
    <font>
      <b/>
      <sz val="10"/>
      <color rgb="FF0000FF"/>
      <name val="游ゴシック"/>
      <family val="3"/>
      <charset val="128"/>
      <scheme val="minor"/>
    </font>
    <font>
      <b/>
      <sz val="10"/>
      <name val="游ゴシック"/>
      <family val="3"/>
      <charset val="128"/>
      <scheme val="minor"/>
    </font>
    <font>
      <b/>
      <sz val="10"/>
      <color theme="1"/>
      <name val="游ゴシック"/>
      <family val="3"/>
      <charset val="128"/>
      <scheme val="minor"/>
    </font>
    <font>
      <sz val="10"/>
      <color rgb="FFFF0000"/>
      <name val="游ゴシック"/>
      <family val="3"/>
      <charset val="128"/>
      <scheme val="minor"/>
    </font>
    <font>
      <sz val="9"/>
      <color indexed="81"/>
      <name val="MS P ゴシック"/>
      <family val="3"/>
      <charset val="128"/>
    </font>
    <font>
      <b/>
      <sz val="10"/>
      <color rgb="FF3F3F3F"/>
      <name val="游ゴシック"/>
      <family val="3"/>
      <charset val="128"/>
      <scheme val="minor"/>
    </font>
    <font>
      <sz val="10"/>
      <color theme="1"/>
      <name val="游ゴシック"/>
      <family val="3"/>
      <charset val="128"/>
      <scheme val="minor"/>
    </font>
    <font>
      <sz val="11"/>
      <color theme="1"/>
      <name val="游ゴシック"/>
      <family val="2"/>
      <charset val="128"/>
      <scheme val="minor"/>
    </font>
    <font>
      <b/>
      <sz val="10"/>
      <color indexed="8"/>
      <name val="游ゴシック"/>
      <family val="3"/>
      <charset val="128"/>
      <scheme val="minor"/>
    </font>
    <font>
      <u/>
      <sz val="10"/>
      <color theme="1"/>
      <name val="游ゴシック"/>
      <family val="3"/>
      <charset val="128"/>
      <scheme val="minor"/>
    </font>
    <font>
      <i/>
      <sz val="10"/>
      <color theme="1"/>
      <name val="游ゴシック"/>
      <family val="3"/>
      <charset val="128"/>
      <scheme val="minor"/>
    </font>
    <font>
      <sz val="9"/>
      <color indexed="81"/>
      <name val="ＭＳ Ｐゴシック"/>
      <family val="3"/>
      <charset val="128"/>
    </font>
  </fonts>
  <fills count="8">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4"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s>
  <borders count="30">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2" fillId="2" borderId="1" applyNumberFormat="0" applyAlignment="0" applyProtection="0">
      <alignment vertical="center"/>
    </xf>
    <xf numFmtId="38" fontId="1" fillId="0" borderId="0" applyFont="0" applyFill="0" applyBorder="0" applyAlignment="0" applyProtection="0">
      <alignment vertical="center"/>
    </xf>
    <xf numFmtId="0" fontId="2" fillId="2" borderId="1" applyNumberFormat="0" applyAlignment="0" applyProtection="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117">
    <xf numFmtId="0" fontId="0" fillId="0" borderId="0" xfId="0">
      <alignment vertical="center"/>
    </xf>
    <xf numFmtId="38" fontId="2" fillId="2" borderId="2" xfId="1" applyNumberFormat="1" applyFont="1" applyBorder="1">
      <alignment vertical="center"/>
    </xf>
    <xf numFmtId="38" fontId="2" fillId="2" borderId="3" xfId="1" applyNumberFormat="1" applyBorder="1">
      <alignment vertical="center"/>
    </xf>
    <xf numFmtId="38" fontId="2" fillId="2" borderId="4" xfId="1" applyNumberFormat="1" applyBorder="1">
      <alignment vertical="center"/>
    </xf>
    <xf numFmtId="38" fontId="0" fillId="0" borderId="0" xfId="2" applyFont="1">
      <alignment vertical="center"/>
    </xf>
    <xf numFmtId="38" fontId="2" fillId="2" borderId="5" xfId="1" applyNumberFormat="1" applyBorder="1">
      <alignment vertical="center"/>
    </xf>
    <xf numFmtId="38" fontId="2" fillId="2" borderId="0" xfId="1" applyNumberFormat="1" applyBorder="1">
      <alignment vertical="center"/>
    </xf>
    <xf numFmtId="38" fontId="2" fillId="2" borderId="6" xfId="1" applyNumberFormat="1" applyBorder="1">
      <alignment vertical="center"/>
    </xf>
    <xf numFmtId="38" fontId="2" fillId="2" borderId="7" xfId="1" applyNumberFormat="1" applyBorder="1">
      <alignment vertical="center"/>
    </xf>
    <xf numFmtId="38" fontId="2" fillId="2" borderId="8" xfId="1" applyNumberFormat="1" applyBorder="1">
      <alignment vertical="center"/>
    </xf>
    <xf numFmtId="38" fontId="2" fillId="2" borderId="9" xfId="1" applyNumberFormat="1" applyBorder="1">
      <alignment vertical="center"/>
    </xf>
    <xf numFmtId="38" fontId="0" fillId="0" borderId="11" xfId="2" applyFont="1" applyBorder="1">
      <alignment vertical="center"/>
    </xf>
    <xf numFmtId="38" fontId="0" fillId="0" borderId="12" xfId="2" applyFont="1" applyBorder="1">
      <alignment vertical="center"/>
    </xf>
    <xf numFmtId="38" fontId="0" fillId="0" borderId="13" xfId="2" applyFont="1" applyBorder="1">
      <alignment vertical="center"/>
    </xf>
    <xf numFmtId="38" fontId="0" fillId="0" borderId="14" xfId="2" applyFont="1" applyBorder="1">
      <alignment vertical="center"/>
    </xf>
    <xf numFmtId="38" fontId="0" fillId="4" borderId="15" xfId="2" applyFont="1" applyFill="1" applyBorder="1">
      <alignment vertical="center"/>
    </xf>
    <xf numFmtId="38" fontId="0" fillId="4" borderId="16" xfId="2" applyFont="1" applyFill="1" applyBorder="1">
      <alignment vertical="center"/>
    </xf>
    <xf numFmtId="38" fontId="5" fillId="0" borderId="0" xfId="2" applyFont="1">
      <alignment vertical="center"/>
    </xf>
    <xf numFmtId="38" fontId="5" fillId="5" borderId="17" xfId="2" applyFont="1" applyFill="1" applyBorder="1">
      <alignment vertical="center"/>
    </xf>
    <xf numFmtId="38" fontId="0" fillId="0" borderId="10" xfId="2" applyFont="1" applyBorder="1">
      <alignment vertical="center"/>
    </xf>
    <xf numFmtId="38" fontId="0" fillId="0" borderId="18" xfId="2" applyFont="1" applyBorder="1">
      <alignment vertical="center"/>
    </xf>
    <xf numFmtId="38" fontId="6" fillId="0" borderId="0" xfId="2" applyFont="1">
      <alignment vertical="center"/>
    </xf>
    <xf numFmtId="38" fontId="6" fillId="4" borderId="19" xfId="2" applyFont="1" applyFill="1" applyBorder="1">
      <alignment vertical="center"/>
    </xf>
    <xf numFmtId="38" fontId="0" fillId="0" borderId="20" xfId="2" applyFont="1" applyBorder="1">
      <alignment vertical="center"/>
    </xf>
    <xf numFmtId="38" fontId="0" fillId="0" borderId="21" xfId="2" applyFont="1" applyBorder="1">
      <alignment vertical="center"/>
    </xf>
    <xf numFmtId="38" fontId="3" fillId="0" borderId="0" xfId="2" applyFont="1">
      <alignment vertical="center"/>
    </xf>
    <xf numFmtId="38" fontId="7" fillId="0" borderId="0" xfId="2" applyFont="1">
      <alignment vertical="center"/>
    </xf>
    <xf numFmtId="38" fontId="0" fillId="0" borderId="0" xfId="2" applyFont="1" applyAlignment="1">
      <alignment horizontal="right" vertical="center"/>
    </xf>
    <xf numFmtId="38" fontId="0" fillId="0" borderId="0" xfId="2" quotePrefix="1" applyFont="1">
      <alignment vertical="center"/>
    </xf>
    <xf numFmtId="38" fontId="8" fillId="0" borderId="0" xfId="2" applyFont="1">
      <alignment vertical="center"/>
    </xf>
    <xf numFmtId="38" fontId="0" fillId="0" borderId="0" xfId="2" applyFont="1" applyBorder="1">
      <alignment vertical="center"/>
    </xf>
    <xf numFmtId="38" fontId="7" fillId="5" borderId="17" xfId="2" applyFont="1" applyFill="1" applyBorder="1">
      <alignment vertical="center"/>
    </xf>
    <xf numFmtId="38" fontId="10" fillId="2" borderId="3" xfId="1" applyNumberFormat="1" applyFont="1" applyBorder="1">
      <alignment vertical="center"/>
    </xf>
    <xf numFmtId="38" fontId="10" fillId="2" borderId="4" xfId="1" applyNumberFormat="1" applyFont="1" applyBorder="1">
      <alignment vertical="center"/>
    </xf>
    <xf numFmtId="38" fontId="11" fillId="0" borderId="0" xfId="2" applyFont="1">
      <alignment vertical="center"/>
    </xf>
    <xf numFmtId="38" fontId="10" fillId="2" borderId="5" xfId="1" applyNumberFormat="1" applyFont="1" applyBorder="1">
      <alignment vertical="center"/>
    </xf>
    <xf numFmtId="38" fontId="10" fillId="2" borderId="0" xfId="1" applyNumberFormat="1" applyFont="1" applyBorder="1">
      <alignment vertical="center"/>
    </xf>
    <xf numFmtId="38" fontId="10" fillId="2" borderId="6" xfId="1" applyNumberFormat="1" applyFont="1" applyBorder="1">
      <alignment vertical="center"/>
    </xf>
    <xf numFmtId="38" fontId="10" fillId="2" borderId="7" xfId="1" applyNumberFormat="1" applyFont="1" applyBorder="1">
      <alignment vertical="center"/>
    </xf>
    <xf numFmtId="38" fontId="10" fillId="2" borderId="8" xfId="1" applyNumberFormat="1" applyFont="1" applyBorder="1">
      <alignment vertical="center"/>
    </xf>
    <xf numFmtId="38" fontId="10" fillId="2" borderId="9" xfId="1" applyNumberFormat="1" applyFont="1" applyBorder="1">
      <alignment vertical="center"/>
    </xf>
    <xf numFmtId="38" fontId="11" fillId="6" borderId="0" xfId="2" applyFont="1" applyFill="1">
      <alignment vertical="center"/>
    </xf>
    <xf numFmtId="38" fontId="11" fillId="7" borderId="0" xfId="2" applyFont="1" applyFill="1">
      <alignment vertical="center"/>
    </xf>
    <xf numFmtId="9" fontId="11" fillId="0" borderId="0" xfId="4" applyFont="1">
      <alignment vertical="center"/>
    </xf>
    <xf numFmtId="9" fontId="11" fillId="0" borderId="22" xfId="4" applyFont="1" applyBorder="1">
      <alignment vertical="center"/>
    </xf>
    <xf numFmtId="38" fontId="11" fillId="0" borderId="0" xfId="2" applyFont="1" applyBorder="1">
      <alignment vertical="center"/>
    </xf>
    <xf numFmtId="38" fontId="11" fillId="0" borderId="10" xfId="2" applyFont="1" applyBorder="1">
      <alignment vertical="center"/>
    </xf>
    <xf numFmtId="38" fontId="11" fillId="0" borderId="10" xfId="5" applyFont="1" applyBorder="1">
      <alignment vertical="center"/>
    </xf>
    <xf numFmtId="38" fontId="11" fillId="0" borderId="0" xfId="2" applyFont="1" applyAlignment="1">
      <alignment horizontal="right" vertical="center"/>
    </xf>
    <xf numFmtId="9" fontId="7" fillId="7" borderId="22" xfId="4" applyFont="1" applyFill="1" applyBorder="1">
      <alignment vertical="center"/>
    </xf>
    <xf numFmtId="38" fontId="7" fillId="7" borderId="22" xfId="2" applyFont="1" applyFill="1" applyBorder="1">
      <alignment vertical="center"/>
    </xf>
    <xf numFmtId="38" fontId="13" fillId="0" borderId="22" xfId="2" applyFont="1" applyBorder="1">
      <alignment vertical="center"/>
    </xf>
    <xf numFmtId="38" fontId="11" fillId="0" borderId="23" xfId="2" applyFont="1" applyBorder="1">
      <alignment vertical="center"/>
    </xf>
    <xf numFmtId="9" fontId="7" fillId="0" borderId="0" xfId="4" applyFont="1">
      <alignment vertical="center"/>
    </xf>
    <xf numFmtId="176" fontId="7" fillId="7" borderId="22" xfId="4" applyNumberFormat="1" applyFont="1" applyFill="1" applyBorder="1">
      <alignment vertical="center"/>
    </xf>
    <xf numFmtId="40" fontId="7" fillId="7" borderId="22" xfId="5" applyNumberFormat="1" applyFont="1" applyFill="1" applyBorder="1">
      <alignment vertical="center"/>
    </xf>
    <xf numFmtId="38" fontId="13" fillId="0" borderId="0" xfId="2" applyFont="1">
      <alignment vertical="center"/>
    </xf>
    <xf numFmtId="38" fontId="11" fillId="0" borderId="0" xfId="2" applyFont="1" applyFill="1">
      <alignment vertical="center"/>
    </xf>
    <xf numFmtId="9" fontId="7" fillId="0" borderId="22" xfId="4" applyFont="1" applyFill="1" applyBorder="1">
      <alignment vertical="center"/>
    </xf>
    <xf numFmtId="38" fontId="7" fillId="0" borderId="0" xfId="2" applyFont="1" applyFill="1">
      <alignment vertical="center"/>
    </xf>
    <xf numFmtId="38" fontId="7" fillId="0" borderId="24" xfId="2" applyFont="1" applyFill="1" applyBorder="1">
      <alignment vertical="center"/>
    </xf>
    <xf numFmtId="38" fontId="7" fillId="0" borderId="22" xfId="2" applyFont="1" applyFill="1" applyBorder="1">
      <alignment vertical="center"/>
    </xf>
    <xf numFmtId="38" fontId="7" fillId="0" borderId="0" xfId="2" applyFont="1" applyBorder="1">
      <alignment vertical="center"/>
    </xf>
    <xf numFmtId="38" fontId="6" fillId="7" borderId="22" xfId="2" applyFont="1" applyFill="1" applyBorder="1">
      <alignment vertical="center"/>
    </xf>
    <xf numFmtId="10" fontId="7" fillId="7" borderId="22" xfId="4" applyNumberFormat="1" applyFont="1" applyFill="1" applyBorder="1">
      <alignment vertical="center"/>
    </xf>
    <xf numFmtId="38" fontId="2" fillId="2" borderId="2" xfId="3" applyNumberFormat="1" applyBorder="1">
      <alignment vertical="center"/>
    </xf>
    <xf numFmtId="38" fontId="2" fillId="2" borderId="3" xfId="3" applyNumberFormat="1" applyBorder="1">
      <alignment vertical="center"/>
    </xf>
    <xf numFmtId="38" fontId="2" fillId="2" borderId="4" xfId="3" applyNumberFormat="1" applyBorder="1">
      <alignment vertical="center"/>
    </xf>
    <xf numFmtId="38" fontId="2" fillId="2" borderId="5" xfId="3" applyNumberFormat="1" applyBorder="1">
      <alignment vertical="center"/>
    </xf>
    <xf numFmtId="38" fontId="2" fillId="2" borderId="0" xfId="3" applyNumberFormat="1" applyBorder="1">
      <alignment vertical="center"/>
    </xf>
    <xf numFmtId="38" fontId="2" fillId="2" borderId="6" xfId="3" applyNumberFormat="1" applyBorder="1">
      <alignment vertical="center"/>
    </xf>
    <xf numFmtId="38" fontId="2" fillId="2" borderId="7" xfId="3" applyNumberFormat="1" applyBorder="1">
      <alignment vertical="center"/>
    </xf>
    <xf numFmtId="38" fontId="2" fillId="2" borderId="8" xfId="3" applyNumberFormat="1" applyBorder="1">
      <alignment vertical="center"/>
    </xf>
    <xf numFmtId="38" fontId="2" fillId="2" borderId="9" xfId="3" applyNumberFormat="1" applyBorder="1">
      <alignment vertical="center"/>
    </xf>
    <xf numFmtId="9" fontId="11" fillId="7" borderId="22" xfId="4" applyFont="1" applyFill="1" applyBorder="1">
      <alignment vertical="center"/>
    </xf>
    <xf numFmtId="38" fontId="11" fillId="0" borderId="22" xfId="2" applyFont="1" applyBorder="1">
      <alignment vertical="center"/>
    </xf>
    <xf numFmtId="38" fontId="11" fillId="7" borderId="22" xfId="2" applyFont="1" applyFill="1" applyBorder="1">
      <alignment vertical="center"/>
    </xf>
    <xf numFmtId="38" fontId="10" fillId="0" borderId="0" xfId="1" applyNumberFormat="1" applyFont="1" applyFill="1" applyBorder="1">
      <alignment vertical="center"/>
    </xf>
    <xf numFmtId="176" fontId="11" fillId="7" borderId="24" xfId="4" applyNumberFormat="1" applyFont="1" applyFill="1" applyBorder="1">
      <alignment vertical="center"/>
    </xf>
    <xf numFmtId="40" fontId="11" fillId="7" borderId="25" xfId="5" applyNumberFormat="1" applyFont="1" applyFill="1" applyBorder="1">
      <alignment vertical="center"/>
    </xf>
    <xf numFmtId="176" fontId="11" fillId="7" borderId="25" xfId="4" applyNumberFormat="1" applyFont="1" applyFill="1" applyBorder="1">
      <alignment vertical="center"/>
    </xf>
    <xf numFmtId="38" fontId="11" fillId="7" borderId="26" xfId="2" applyFont="1" applyFill="1" applyBorder="1">
      <alignment vertical="center"/>
    </xf>
    <xf numFmtId="9" fontId="11" fillId="7" borderId="0" xfId="4" applyFont="1" applyFill="1">
      <alignment vertical="center"/>
    </xf>
    <xf numFmtId="38" fontId="11" fillId="7" borderId="27" xfId="2" applyFont="1" applyFill="1" applyBorder="1">
      <alignment vertical="center"/>
    </xf>
    <xf numFmtId="38" fontId="11" fillId="7" borderId="28" xfId="2" applyFont="1" applyFill="1" applyBorder="1">
      <alignment vertical="center"/>
    </xf>
    <xf numFmtId="38" fontId="11" fillId="0" borderId="11" xfId="2" applyFont="1" applyBorder="1">
      <alignment vertical="center"/>
    </xf>
    <xf numFmtId="38" fontId="11" fillId="0" borderId="15" xfId="2" applyFont="1" applyBorder="1">
      <alignment vertical="center"/>
    </xf>
    <xf numFmtId="38" fontId="11" fillId="0" borderId="13" xfId="2" applyFont="1" applyBorder="1">
      <alignment vertical="center"/>
    </xf>
    <xf numFmtId="38" fontId="11" fillId="0" borderId="19" xfId="2" applyFont="1" applyBorder="1">
      <alignment vertical="center"/>
    </xf>
    <xf numFmtId="38" fontId="11" fillId="0" borderId="20" xfId="2" applyFont="1" applyBorder="1">
      <alignment vertical="center"/>
    </xf>
    <xf numFmtId="177" fontId="11" fillId="7" borderId="22" xfId="4" applyNumberFormat="1" applyFont="1" applyFill="1" applyBorder="1">
      <alignment vertical="center"/>
    </xf>
    <xf numFmtId="176" fontId="11" fillId="0" borderId="0" xfId="4" applyNumberFormat="1" applyFont="1">
      <alignment vertical="center"/>
    </xf>
    <xf numFmtId="176" fontId="11" fillId="7" borderId="22" xfId="4" applyNumberFormat="1" applyFont="1" applyFill="1" applyBorder="1">
      <alignment vertical="center"/>
    </xf>
    <xf numFmtId="38" fontId="11" fillId="7" borderId="22" xfId="5" applyFont="1" applyFill="1" applyBorder="1">
      <alignment vertical="center"/>
    </xf>
    <xf numFmtId="178" fontId="11" fillId="7" borderId="22" xfId="2" applyNumberFormat="1" applyFont="1" applyFill="1" applyBorder="1">
      <alignment vertical="center"/>
    </xf>
    <xf numFmtId="178" fontId="11" fillId="0" borderId="0" xfId="2" applyNumberFormat="1" applyFont="1">
      <alignment vertical="center"/>
    </xf>
    <xf numFmtId="38" fontId="11" fillId="6" borderId="22" xfId="2" applyFont="1" applyFill="1" applyBorder="1">
      <alignment vertical="center"/>
    </xf>
    <xf numFmtId="10" fontId="11" fillId="7" borderId="22" xfId="4" applyNumberFormat="1" applyFont="1" applyFill="1" applyBorder="1">
      <alignment vertical="center"/>
    </xf>
    <xf numFmtId="38" fontId="11" fillId="6" borderId="29" xfId="2" applyFont="1" applyFill="1" applyBorder="1">
      <alignment vertical="center"/>
    </xf>
    <xf numFmtId="38" fontId="11" fillId="0" borderId="0" xfId="2" quotePrefix="1" applyFont="1">
      <alignment vertical="center"/>
    </xf>
    <xf numFmtId="38" fontId="1" fillId="3" borderId="10" xfId="2" applyFill="1" applyBorder="1" applyAlignment="1">
      <alignment horizontal="center" vertical="center"/>
    </xf>
    <xf numFmtId="38" fontId="0" fillId="0" borderId="0" xfId="2" applyFont="1" applyAlignment="1">
      <alignment horizontal="center" vertical="center"/>
    </xf>
    <xf numFmtId="38" fontId="0" fillId="3" borderId="10" xfId="2" applyFont="1" applyFill="1" applyBorder="1" applyAlignment="1">
      <alignment horizontal="center" vertical="center"/>
    </xf>
    <xf numFmtId="38" fontId="11" fillId="0" borderId="0" xfId="2" applyFont="1" applyAlignment="1">
      <alignment vertical="center" wrapText="1"/>
    </xf>
    <xf numFmtId="40" fontId="11" fillId="0" borderId="0" xfId="5" applyNumberFormat="1" applyFont="1">
      <alignment vertical="center"/>
    </xf>
    <xf numFmtId="38" fontId="15" fillId="7" borderId="27" xfId="2" applyFont="1" applyFill="1" applyBorder="1">
      <alignment vertical="center"/>
    </xf>
    <xf numFmtId="38" fontId="11" fillId="7" borderId="29" xfId="2" applyFont="1" applyFill="1" applyBorder="1">
      <alignment vertical="center"/>
    </xf>
    <xf numFmtId="38" fontId="11" fillId="0" borderId="0" xfId="5" applyFont="1">
      <alignment vertical="center"/>
    </xf>
    <xf numFmtId="38" fontId="11" fillId="7" borderId="24" xfId="2" applyFont="1" applyFill="1" applyBorder="1">
      <alignment vertical="center"/>
    </xf>
    <xf numFmtId="38" fontId="11" fillId="7" borderId="25" xfId="2" applyFont="1" applyFill="1" applyBorder="1">
      <alignment vertical="center"/>
    </xf>
    <xf numFmtId="9" fontId="11" fillId="7" borderId="26" xfId="4" applyFont="1" applyFill="1" applyBorder="1">
      <alignment vertical="center"/>
    </xf>
    <xf numFmtId="38" fontId="11" fillId="7" borderId="21" xfId="2" applyFont="1" applyFill="1" applyBorder="1">
      <alignment vertical="center"/>
    </xf>
    <xf numFmtId="10" fontId="11" fillId="0" borderId="0" xfId="4" applyNumberFormat="1" applyFont="1">
      <alignment vertical="center"/>
    </xf>
    <xf numFmtId="38" fontId="15" fillId="7" borderId="29" xfId="2" applyFont="1" applyFill="1" applyBorder="1">
      <alignment vertical="center"/>
    </xf>
    <xf numFmtId="38" fontId="11" fillId="6" borderId="24" xfId="2" applyFont="1" applyFill="1" applyBorder="1">
      <alignment vertical="center"/>
    </xf>
    <xf numFmtId="38" fontId="11" fillId="6" borderId="25" xfId="2" applyFont="1" applyFill="1" applyBorder="1">
      <alignment vertical="center"/>
    </xf>
    <xf numFmtId="38" fontId="11" fillId="6" borderId="26" xfId="2" applyFont="1" applyFill="1" applyBorder="1">
      <alignment vertical="center"/>
    </xf>
  </cellXfs>
  <cellStyles count="6">
    <cellStyle name="パーセント 2" xfId="4" xr:uid="{14C390C0-AC88-43D7-8254-D584535CD02D}"/>
    <cellStyle name="桁区切り 2" xfId="2" xr:uid="{00000000-0005-0000-0000-000000000000}"/>
    <cellStyle name="桁区切り 3" xfId="5" xr:uid="{61F1A351-D1AC-44BF-8A6D-154AF0FC975B}"/>
    <cellStyle name="出力" xfId="3" builtinId="21"/>
    <cellStyle name="出力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'2例題１'!$D$6</c:f>
              <c:strCache>
                <c:ptCount val="1"/>
                <c:pt idx="0">
                  <c:v>動力費y</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xVal>
            <c:numRef>
              <c:f>'2例題１'!$C$7:$C$10</c:f>
              <c:numCache>
                <c:formatCode>#,##0_);[Red]\(#,##0\)</c:formatCode>
                <c:ptCount val="4"/>
                <c:pt idx="0">
                  <c:v>200</c:v>
                </c:pt>
                <c:pt idx="1">
                  <c:v>300</c:v>
                </c:pt>
                <c:pt idx="2">
                  <c:v>100</c:v>
                </c:pt>
                <c:pt idx="3">
                  <c:v>400</c:v>
                </c:pt>
              </c:numCache>
            </c:numRef>
          </c:xVal>
          <c:yVal>
            <c:numRef>
              <c:f>'2例題１'!$D$7:$D$10</c:f>
              <c:numCache>
                <c:formatCode>#,##0_);[Red]\(#,##0\)</c:formatCode>
                <c:ptCount val="4"/>
                <c:pt idx="0">
                  <c:v>350</c:v>
                </c:pt>
                <c:pt idx="1">
                  <c:v>450</c:v>
                </c:pt>
                <c:pt idx="2">
                  <c:v>300</c:v>
                </c:pt>
                <c:pt idx="3">
                  <c:v>500</c:v>
                </c:pt>
              </c:numCache>
            </c:numRef>
          </c:yVal>
          <c:smooth val="0"/>
          <c:extLst>
            <c:ext xmlns:c16="http://schemas.microsoft.com/office/drawing/2014/chart" uri="{C3380CC4-5D6E-409C-BE32-E72D297353CC}">
              <c16:uniqueId val="{00000000-8A10-4688-BD8A-21F0C9A1E622}"/>
            </c:ext>
          </c:extLst>
        </c:ser>
        <c:dLbls>
          <c:showLegendKey val="0"/>
          <c:showVal val="0"/>
          <c:showCatName val="0"/>
          <c:showSerName val="0"/>
          <c:showPercent val="0"/>
          <c:showBubbleSize val="0"/>
        </c:dLbls>
        <c:axId val="48891392"/>
        <c:axId val="48893312"/>
      </c:scatterChart>
      <c:valAx>
        <c:axId val="48891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_);[Red]\(#,##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48893312"/>
        <c:crosses val="autoZero"/>
        <c:crossBetween val="midCat"/>
      </c:valAx>
      <c:valAx>
        <c:axId val="48893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_);[Red]\(#,##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48891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246529</xdr:colOff>
      <xdr:row>7</xdr:row>
      <xdr:rowOff>78442</xdr:rowOff>
    </xdr:from>
    <xdr:to>
      <xdr:col>6</xdr:col>
      <xdr:colOff>582706</xdr:colOff>
      <xdr:row>22</xdr:row>
      <xdr:rowOff>44823</xdr:rowOff>
    </xdr:to>
    <xdr:cxnSp macro="">
      <xdr:nvCxnSpPr>
        <xdr:cNvPr id="3" name="直線矢印コネクタ 2">
          <a:extLst>
            <a:ext uri="{FF2B5EF4-FFF2-40B4-BE49-F238E27FC236}">
              <a16:creationId xmlns:a16="http://schemas.microsoft.com/office/drawing/2014/main" id="{BD36256D-B7E1-4763-93B8-006B9C91E2E6}"/>
            </a:ext>
          </a:extLst>
        </xdr:cNvPr>
        <xdr:cNvCxnSpPr/>
      </xdr:nvCxnSpPr>
      <xdr:spPr>
        <a:xfrm flipH="1">
          <a:off x="930088" y="1568824"/>
          <a:ext cx="3361765" cy="3182470"/>
        </a:xfrm>
        <a:prstGeom prst="straightConnector1">
          <a:avLst/>
        </a:prstGeom>
        <a:ln>
          <a:solidFill>
            <a:schemeClr val="bg1">
              <a:lumMod val="50000"/>
            </a:schemeClr>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11205</xdr:colOff>
      <xdr:row>10</xdr:row>
      <xdr:rowOff>22412</xdr:rowOff>
    </xdr:from>
    <xdr:to>
      <xdr:col>3</xdr:col>
      <xdr:colOff>593912</xdr:colOff>
      <xdr:row>15</xdr:row>
      <xdr:rowOff>156883</xdr:rowOff>
    </xdr:to>
    <xdr:sp macro="" textlink="">
      <xdr:nvSpPr>
        <xdr:cNvPr id="5" name="テキスト ボックス 4">
          <a:extLst>
            <a:ext uri="{FF2B5EF4-FFF2-40B4-BE49-F238E27FC236}">
              <a16:creationId xmlns:a16="http://schemas.microsoft.com/office/drawing/2014/main" id="{4C1754E9-FF41-4115-9FA7-24E84DE43288}"/>
            </a:ext>
          </a:extLst>
        </xdr:cNvPr>
        <xdr:cNvSpPr txBox="1"/>
      </xdr:nvSpPr>
      <xdr:spPr>
        <a:xfrm>
          <a:off x="11205" y="2151530"/>
          <a:ext cx="2476501" cy="119902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a:t>
          </a:r>
          <a:br>
            <a:rPr kumimoji="1" lang="en-US" altLang="ja-JP" sz="1100"/>
          </a:br>
          <a:r>
            <a:rPr kumimoji="1" lang="ja-JP" altLang="en-US" sz="1100"/>
            <a:t>当問では仕掛品計算は省略されているが、実際は計算が行われ、仕掛品当期完成→製品当期販売へと進む。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4</xdr:row>
      <xdr:rowOff>104775</xdr:rowOff>
    </xdr:from>
    <xdr:to>
      <xdr:col>11</xdr:col>
      <xdr:colOff>104775</xdr:colOff>
      <xdr:row>19</xdr:row>
      <xdr:rowOff>152400</xdr:rowOff>
    </xdr:to>
    <xdr:graphicFrame macro="">
      <xdr:nvGraphicFramePr>
        <xdr:cNvPr id="2" name="グラフ 1">
          <a:extLst>
            <a:ext uri="{FF2B5EF4-FFF2-40B4-BE49-F238E27FC236}">
              <a16:creationId xmlns:a16="http://schemas.microsoft.com/office/drawing/2014/main" id="{10F78DCF-BB15-4CBE-B130-FCE1414F6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7</xdr:row>
      <xdr:rowOff>95250</xdr:rowOff>
    </xdr:from>
    <xdr:to>
      <xdr:col>9</xdr:col>
      <xdr:colOff>552450</xdr:colOff>
      <xdr:row>11</xdr:row>
      <xdr:rowOff>142875</xdr:rowOff>
    </xdr:to>
    <xdr:cxnSp macro="">
      <xdr:nvCxnSpPr>
        <xdr:cNvPr id="3" name="直線コネクタ 2">
          <a:extLst>
            <a:ext uri="{FF2B5EF4-FFF2-40B4-BE49-F238E27FC236}">
              <a16:creationId xmlns:a16="http://schemas.microsoft.com/office/drawing/2014/main" id="{B071200D-A102-443C-9317-6DFCC3EED008}"/>
            </a:ext>
          </a:extLst>
        </xdr:cNvPr>
        <xdr:cNvCxnSpPr/>
      </xdr:nvCxnSpPr>
      <xdr:spPr>
        <a:xfrm flipV="1">
          <a:off x="5000625" y="1562100"/>
          <a:ext cx="2038350"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11</xdr:row>
      <xdr:rowOff>161926</xdr:rowOff>
    </xdr:from>
    <xdr:to>
      <xdr:col>6</xdr:col>
      <xdr:colOff>552450</xdr:colOff>
      <xdr:row>13</xdr:row>
      <xdr:rowOff>16023</xdr:rowOff>
    </xdr:to>
    <xdr:cxnSp macro="">
      <xdr:nvCxnSpPr>
        <xdr:cNvPr id="4" name="直線コネクタ 3">
          <a:extLst>
            <a:ext uri="{FF2B5EF4-FFF2-40B4-BE49-F238E27FC236}">
              <a16:creationId xmlns:a16="http://schemas.microsoft.com/office/drawing/2014/main" id="{9D5E22EE-3B2C-4682-BAFA-761ECCC22A1E}"/>
            </a:ext>
          </a:extLst>
        </xdr:cNvPr>
        <xdr:cNvCxnSpPr/>
      </xdr:nvCxnSpPr>
      <xdr:spPr>
        <a:xfrm flipV="1">
          <a:off x="4248150" y="2466976"/>
          <a:ext cx="704850" cy="273197"/>
        </a:xfrm>
        <a:prstGeom prst="line">
          <a:avLst/>
        </a:prstGeom>
        <a:ln>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zoomScale="85" zoomScaleNormal="85" workbookViewId="0">
      <selection activeCell="C6" sqref="C6:E12"/>
    </sheetView>
  </sheetViews>
  <sheetFormatPr defaultRowHeight="16.5"/>
  <cols>
    <col min="1" max="1" width="10.28515625" style="4" customWidth="1"/>
    <col min="2" max="10" width="9.140625" style="4"/>
    <col min="11" max="11" width="17.42578125" style="4" customWidth="1"/>
    <col min="12" max="15" width="9.140625" style="4"/>
    <col min="16" max="16" width="12.5703125" style="4" customWidth="1"/>
    <col min="17" max="16384" width="9.140625" style="4"/>
  </cols>
  <sheetData>
    <row r="1" spans="1:18">
      <c r="A1" s="1" t="s">
        <v>0</v>
      </c>
      <c r="B1" s="2"/>
      <c r="C1" s="2"/>
      <c r="D1" s="2"/>
      <c r="E1" s="2"/>
      <c r="F1" s="2"/>
      <c r="G1" s="2"/>
      <c r="H1" s="2"/>
      <c r="I1" s="2"/>
      <c r="J1" s="2"/>
      <c r="K1" s="2"/>
      <c r="L1" s="2"/>
      <c r="M1" s="2"/>
      <c r="N1" s="2"/>
      <c r="O1" s="2"/>
      <c r="P1" s="2"/>
      <c r="Q1" s="2"/>
      <c r="R1" s="3"/>
    </row>
    <row r="2" spans="1:18">
      <c r="A2" s="5" t="s">
        <v>1</v>
      </c>
      <c r="B2" s="6"/>
      <c r="C2" s="6"/>
      <c r="D2" s="6"/>
      <c r="E2" s="6"/>
      <c r="F2" s="6"/>
      <c r="G2" s="6"/>
      <c r="H2" s="6"/>
      <c r="I2" s="6"/>
      <c r="J2" s="6"/>
      <c r="K2" s="6"/>
      <c r="L2" s="6"/>
      <c r="M2" s="6"/>
      <c r="N2" s="6"/>
      <c r="O2" s="6"/>
      <c r="P2" s="6"/>
      <c r="Q2" s="6"/>
      <c r="R2" s="7"/>
    </row>
    <row r="3" spans="1:18">
      <c r="A3" s="8" t="s">
        <v>2</v>
      </c>
      <c r="B3" s="9"/>
      <c r="C3" s="9"/>
      <c r="D3" s="9"/>
      <c r="E3" s="9"/>
      <c r="F3" s="9"/>
      <c r="G3" s="9"/>
      <c r="H3" s="9"/>
      <c r="I3" s="9"/>
      <c r="J3" s="9"/>
      <c r="K3" s="9"/>
      <c r="L3" s="9"/>
      <c r="M3" s="9"/>
      <c r="N3" s="9"/>
      <c r="O3" s="9"/>
      <c r="P3" s="9"/>
      <c r="Q3" s="9"/>
      <c r="R3" s="10"/>
    </row>
    <row r="4" spans="1:18">
      <c r="A4" s="4" t="s">
        <v>3</v>
      </c>
      <c r="G4" s="4" t="s">
        <v>4</v>
      </c>
      <c r="J4" s="4" t="s">
        <v>5</v>
      </c>
      <c r="K4" s="4" t="s">
        <v>6</v>
      </c>
    </row>
    <row r="5" spans="1:18">
      <c r="C5" s="100" t="s">
        <v>7</v>
      </c>
      <c r="D5" s="100"/>
      <c r="E5" s="100"/>
      <c r="F5" s="100"/>
      <c r="J5" s="4" t="s">
        <v>8</v>
      </c>
      <c r="O5" s="4" t="s">
        <v>9</v>
      </c>
    </row>
    <row r="6" spans="1:18">
      <c r="C6" s="11" t="s">
        <v>10</v>
      </c>
      <c r="D6" s="12"/>
      <c r="E6" s="11" t="s">
        <v>11</v>
      </c>
      <c r="F6" s="12"/>
    </row>
    <row r="7" spans="1:18">
      <c r="A7" s="4" t="s">
        <v>12</v>
      </c>
      <c r="B7" s="4">
        <v>30000</v>
      </c>
      <c r="C7" s="13">
        <v>150</v>
      </c>
      <c r="D7" s="14"/>
      <c r="E7" s="13">
        <v>750</v>
      </c>
      <c r="F7" s="14"/>
      <c r="G7" s="4" t="s">
        <v>12</v>
      </c>
      <c r="H7" s="15">
        <f>+B7+B12-H12</f>
        <v>150000</v>
      </c>
      <c r="J7" s="4" t="s">
        <v>13</v>
      </c>
      <c r="M7" s="4">
        <f>705*780</f>
        <v>549900</v>
      </c>
      <c r="O7" s="4" t="s">
        <v>13</v>
      </c>
      <c r="R7" s="4">
        <f>+M7</f>
        <v>549900</v>
      </c>
    </row>
    <row r="8" spans="1:18">
      <c r="A8" s="4" t="s">
        <v>14</v>
      </c>
      <c r="B8" s="4">
        <v>4800</v>
      </c>
      <c r="C8" s="13">
        <f>+C7*0.4</f>
        <v>60</v>
      </c>
      <c r="D8" s="14"/>
      <c r="E8" s="13">
        <f>+E7</f>
        <v>750</v>
      </c>
      <c r="F8" s="14"/>
      <c r="G8" s="4" t="s">
        <v>14</v>
      </c>
      <c r="H8" s="16">
        <f>+B8+B13-H13</f>
        <v>60000</v>
      </c>
      <c r="J8" s="4" t="s">
        <v>15</v>
      </c>
      <c r="O8" s="4" t="s">
        <v>15</v>
      </c>
    </row>
    <row r="9" spans="1:18">
      <c r="A9" s="17" t="s">
        <v>16</v>
      </c>
      <c r="B9" s="18">
        <v>7200</v>
      </c>
      <c r="C9" s="19"/>
      <c r="D9" s="20"/>
      <c r="E9" s="13"/>
      <c r="F9" s="14"/>
      <c r="G9" s="21" t="s">
        <v>16</v>
      </c>
      <c r="H9" s="22">
        <f>+B9+B14-H14</f>
        <v>90000</v>
      </c>
      <c r="K9" s="4" t="s">
        <v>17</v>
      </c>
      <c r="L9" s="4">
        <f>+SUM(B19:B21)</f>
        <v>29400</v>
      </c>
      <c r="P9" s="4" t="s">
        <v>17</v>
      </c>
      <c r="Q9" s="4">
        <f>+SUM(B19:B20)</f>
        <v>19800</v>
      </c>
    </row>
    <row r="10" spans="1:18">
      <c r="C10" s="11" t="s">
        <v>18</v>
      </c>
      <c r="D10" s="12"/>
      <c r="E10" s="13"/>
      <c r="F10" s="14"/>
      <c r="K10" s="4" t="s">
        <v>19</v>
      </c>
      <c r="L10" s="4">
        <f>+SUM(B24:B26)</f>
        <v>300000</v>
      </c>
      <c r="P10" s="4" t="s">
        <v>19</v>
      </c>
      <c r="Q10" s="4">
        <f>+SUM(B24:B25)</f>
        <v>210000</v>
      </c>
    </row>
    <row r="11" spans="1:18">
      <c r="C11" s="13">
        <f>+E7+E13-C7</f>
        <v>750</v>
      </c>
      <c r="D11" s="14"/>
      <c r="E11" s="23"/>
      <c r="F11" s="20"/>
      <c r="K11" s="19" t="s">
        <v>20</v>
      </c>
      <c r="L11" s="19">
        <f>+SUM(H24:H26)</f>
        <v>48000</v>
      </c>
      <c r="M11" s="19">
        <f>+L9+L10-L11</f>
        <v>281400</v>
      </c>
      <c r="P11" s="19" t="s">
        <v>20</v>
      </c>
      <c r="Q11" s="19">
        <f>+SUM(H24:H25)</f>
        <v>33600</v>
      </c>
      <c r="R11" s="19">
        <f>+Q9+Q10-Q11</f>
        <v>196200</v>
      </c>
    </row>
    <row r="12" spans="1:18">
      <c r="A12" s="4" t="s">
        <v>12</v>
      </c>
      <c r="B12" s="4">
        <v>150000</v>
      </c>
      <c r="C12" s="13">
        <f>+E8+E14-C8</f>
        <v>780</v>
      </c>
      <c r="D12" s="14"/>
      <c r="E12" s="11" t="s">
        <v>21</v>
      </c>
      <c r="F12" s="12"/>
      <c r="G12" s="4" t="s">
        <v>12</v>
      </c>
      <c r="H12" s="4">
        <f>+B12*E13/C11</f>
        <v>30000</v>
      </c>
      <c r="K12" s="4" t="s">
        <v>22</v>
      </c>
      <c r="M12" s="4">
        <f>+M7-M11</f>
        <v>268500</v>
      </c>
      <c r="P12" s="4" t="s">
        <v>22</v>
      </c>
      <c r="R12" s="4">
        <f>+R7-R11</f>
        <v>353700</v>
      </c>
    </row>
    <row r="13" spans="1:18">
      <c r="A13" s="4" t="s">
        <v>14</v>
      </c>
      <c r="B13" s="4">
        <v>62400</v>
      </c>
      <c r="C13" s="13"/>
      <c r="D13" s="14"/>
      <c r="E13" s="13">
        <v>150</v>
      </c>
      <c r="F13" s="14"/>
      <c r="G13" s="4" t="s">
        <v>14</v>
      </c>
      <c r="H13" s="4">
        <f>+B13*E14/C12</f>
        <v>7200</v>
      </c>
      <c r="J13" s="4" t="s">
        <v>23</v>
      </c>
      <c r="O13" s="4" t="s">
        <v>23</v>
      </c>
    </row>
    <row r="14" spans="1:18">
      <c r="A14" s="21" t="s">
        <v>16</v>
      </c>
      <c r="B14" s="21">
        <v>93600</v>
      </c>
      <c r="C14" s="13"/>
      <c r="D14" s="14"/>
      <c r="E14" s="13">
        <v>90</v>
      </c>
      <c r="F14" s="14"/>
      <c r="G14" s="17" t="s">
        <v>16</v>
      </c>
      <c r="H14" s="18">
        <f>+B14*E14/C12</f>
        <v>10800</v>
      </c>
      <c r="P14" s="4" t="s">
        <v>24</v>
      </c>
      <c r="Q14" s="4">
        <f>+B14</f>
        <v>93600</v>
      </c>
    </row>
    <row r="15" spans="1:18">
      <c r="C15" s="23"/>
      <c r="D15" s="20"/>
      <c r="E15" s="23"/>
      <c r="F15" s="20"/>
      <c r="K15" s="4" t="s">
        <v>25</v>
      </c>
      <c r="L15" s="4">
        <f>+B29</f>
        <v>28200</v>
      </c>
      <c r="P15" s="4" t="s">
        <v>25</v>
      </c>
      <c r="Q15" s="4">
        <f>+L15</f>
        <v>28200</v>
      </c>
    </row>
    <row r="16" spans="1:18">
      <c r="K16" s="19" t="s">
        <v>26</v>
      </c>
      <c r="L16" s="19">
        <f>+B31</f>
        <v>30000</v>
      </c>
      <c r="M16" s="19">
        <f>+SUM(L15:L16)</f>
        <v>58200</v>
      </c>
      <c r="P16" s="19" t="s">
        <v>26</v>
      </c>
      <c r="Q16" s="19">
        <f>+L16</f>
        <v>30000</v>
      </c>
      <c r="R16" s="4">
        <f>+SUM(Q14:Q16)</f>
        <v>151800</v>
      </c>
    </row>
    <row r="17" spans="1:18" ht="17.25" thickBot="1">
      <c r="C17" s="101" t="s">
        <v>27</v>
      </c>
      <c r="D17" s="101"/>
      <c r="E17" s="101"/>
      <c r="F17" s="101"/>
      <c r="K17" s="4" t="s">
        <v>28</v>
      </c>
      <c r="M17" s="24">
        <f>+M12-M16</f>
        <v>210300</v>
      </c>
      <c r="R17" s="24">
        <f>+R12-R16</f>
        <v>201900</v>
      </c>
    </row>
    <row r="18" spans="1:18" ht="17.25" thickTop="1">
      <c r="C18" s="11" t="s">
        <v>29</v>
      </c>
      <c r="D18" s="12"/>
      <c r="E18" s="11" t="s">
        <v>30</v>
      </c>
      <c r="F18" s="12"/>
      <c r="M18" s="25" t="s">
        <v>31</v>
      </c>
    </row>
    <row r="19" spans="1:18">
      <c r="A19" s="4" t="s">
        <v>12</v>
      </c>
      <c r="B19" s="4">
        <v>14400</v>
      </c>
      <c r="C19" s="13">
        <v>75</v>
      </c>
      <c r="D19" s="14"/>
      <c r="E19" s="13">
        <v>705</v>
      </c>
      <c r="F19" s="14"/>
      <c r="G19" s="4" t="s">
        <v>12</v>
      </c>
      <c r="H19" s="4">
        <f>+B19+B24-H24</f>
        <v>140400</v>
      </c>
    </row>
    <row r="20" spans="1:18">
      <c r="A20" s="4" t="s">
        <v>14</v>
      </c>
      <c r="B20" s="4">
        <v>5400</v>
      </c>
      <c r="C20" s="13"/>
      <c r="D20" s="14"/>
      <c r="E20" s="13"/>
      <c r="F20" s="14"/>
      <c r="G20" s="4" t="s">
        <v>14</v>
      </c>
      <c r="H20" s="4">
        <f>+B20+B25-H25</f>
        <v>55800</v>
      </c>
    </row>
    <row r="21" spans="1:18">
      <c r="A21" s="17" t="s">
        <v>16</v>
      </c>
      <c r="B21" s="18">
        <v>9600</v>
      </c>
      <c r="C21" s="19"/>
      <c r="D21" s="20"/>
      <c r="E21" s="13"/>
      <c r="F21" s="14"/>
      <c r="G21" s="26" t="s">
        <v>16</v>
      </c>
      <c r="H21" s="26">
        <f>+B21+B26-H26</f>
        <v>85200</v>
      </c>
    </row>
    <row r="22" spans="1:18">
      <c r="C22" s="11" t="s">
        <v>11</v>
      </c>
      <c r="D22" s="12"/>
      <c r="E22" s="13"/>
      <c r="F22" s="14"/>
    </row>
    <row r="23" spans="1:18">
      <c r="C23" s="13">
        <f>+E7</f>
        <v>750</v>
      </c>
      <c r="D23" s="14"/>
      <c r="E23" s="23"/>
      <c r="F23" s="20"/>
    </row>
    <row r="24" spans="1:18">
      <c r="A24" s="4" t="s">
        <v>12</v>
      </c>
      <c r="B24" s="15">
        <f>+H7</f>
        <v>150000</v>
      </c>
      <c r="C24" s="13"/>
      <c r="D24" s="14"/>
      <c r="E24" s="11" t="s">
        <v>32</v>
      </c>
      <c r="F24" s="12"/>
      <c r="G24" s="4" t="s">
        <v>12</v>
      </c>
      <c r="H24" s="4">
        <f>+B24*E$25/C$23</f>
        <v>24000</v>
      </c>
    </row>
    <row r="25" spans="1:18">
      <c r="A25" s="4" t="s">
        <v>14</v>
      </c>
      <c r="B25" s="16">
        <f>+H8</f>
        <v>60000</v>
      </c>
      <c r="C25" s="13"/>
      <c r="D25" s="14"/>
      <c r="E25" s="13">
        <f>+C23+C19-E19</f>
        <v>120</v>
      </c>
      <c r="F25" s="14"/>
      <c r="G25" s="4" t="s">
        <v>14</v>
      </c>
      <c r="H25" s="4">
        <f>+B25*E$25/C$23</f>
        <v>9600</v>
      </c>
    </row>
    <row r="26" spans="1:18">
      <c r="A26" s="21" t="s">
        <v>16</v>
      </c>
      <c r="B26" s="22">
        <f>+H9</f>
        <v>90000</v>
      </c>
      <c r="C26" s="13"/>
      <c r="D26" s="14"/>
      <c r="E26" s="13"/>
      <c r="F26" s="14"/>
      <c r="G26" s="17" t="s">
        <v>16</v>
      </c>
      <c r="H26" s="18">
        <f>+B26*E$25/C$23</f>
        <v>14400</v>
      </c>
    </row>
    <row r="27" spans="1:18">
      <c r="C27" s="23"/>
      <c r="D27" s="20"/>
      <c r="E27" s="23"/>
      <c r="F27" s="20"/>
      <c r="H27" s="4">
        <f>+B27*E$25/C$23</f>
        <v>0</v>
      </c>
    </row>
    <row r="29" spans="1:18">
      <c r="A29" s="4" t="s">
        <v>33</v>
      </c>
      <c r="B29" s="4">
        <v>28200</v>
      </c>
      <c r="G29" s="27" t="s">
        <v>34</v>
      </c>
      <c r="H29" s="18">
        <f>+H14+H26-B9-B21</f>
        <v>8400</v>
      </c>
    </row>
    <row r="30" spans="1:18">
      <c r="A30" s="4" t="s">
        <v>16</v>
      </c>
      <c r="B30" s="28" t="s">
        <v>35</v>
      </c>
    </row>
    <row r="31" spans="1:18">
      <c r="A31" s="4" t="s">
        <v>36</v>
      </c>
      <c r="B31" s="4">
        <v>30000</v>
      </c>
      <c r="E31" s="25" t="s">
        <v>37</v>
      </c>
    </row>
    <row r="32" spans="1:18">
      <c r="E32" s="29" t="s">
        <v>38</v>
      </c>
    </row>
    <row r="33" spans="1:5">
      <c r="A33" s="4" t="s">
        <v>39</v>
      </c>
      <c r="E33" s="29" t="s">
        <v>40</v>
      </c>
    </row>
    <row r="34" spans="1:5">
      <c r="A34" s="4" t="s">
        <v>41</v>
      </c>
      <c r="E34" s="29" t="s">
        <v>42</v>
      </c>
    </row>
    <row r="35" spans="1:5">
      <c r="A35" s="4" t="s">
        <v>43</v>
      </c>
      <c r="E35" s="29"/>
    </row>
    <row r="36" spans="1:5">
      <c r="A36" s="4" t="s">
        <v>44</v>
      </c>
      <c r="E36" s="29" t="s">
        <v>45</v>
      </c>
    </row>
    <row r="37" spans="1:5">
      <c r="A37" s="4" t="s">
        <v>46</v>
      </c>
      <c r="E37" s="29" t="s">
        <v>47</v>
      </c>
    </row>
  </sheetData>
  <mergeCells count="2">
    <mergeCell ref="C5:F5"/>
    <mergeCell ref="C17:F17"/>
  </mergeCells>
  <phoneticPr fontId="4"/>
  <pageMargins left="0.25" right="0.25" top="0.75" bottom="0.75" header="0.3" footer="0.3"/>
  <pageSetup paperSize="9" scale="86"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D7C3D-CF3D-4948-91BC-E04C65852996}">
  <sheetPr>
    <pageSetUpPr fitToPage="1"/>
  </sheetPr>
  <dimension ref="A1:S57"/>
  <sheetViews>
    <sheetView workbookViewId="0">
      <selection activeCell="G13" sqref="G13"/>
    </sheetView>
  </sheetViews>
  <sheetFormatPr defaultColWidth="12" defaultRowHeight="16.5"/>
  <cols>
    <col min="1" max="5" width="12" style="34"/>
    <col min="6" max="6" width="13" style="34" bestFit="1" customWidth="1"/>
    <col min="7"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215</v>
      </c>
      <c r="B2" s="36"/>
      <c r="C2" s="36"/>
      <c r="D2" s="36"/>
      <c r="E2" s="36"/>
      <c r="F2" s="36"/>
      <c r="G2" s="36"/>
      <c r="H2" s="36"/>
      <c r="I2" s="36"/>
      <c r="J2" s="36"/>
      <c r="K2" s="36"/>
      <c r="L2" s="36"/>
      <c r="M2" s="36"/>
      <c r="N2" s="36"/>
      <c r="O2" s="36"/>
      <c r="P2" s="36"/>
      <c r="Q2" s="36"/>
      <c r="R2" s="36"/>
      <c r="S2" s="37"/>
    </row>
    <row r="3" spans="1:19">
      <c r="A3" s="38" t="s">
        <v>48</v>
      </c>
      <c r="B3" s="39"/>
      <c r="C3" s="39"/>
      <c r="D3" s="39"/>
      <c r="E3" s="39"/>
      <c r="F3" s="39"/>
      <c r="G3" s="39"/>
      <c r="H3" s="39"/>
      <c r="I3" s="39"/>
      <c r="J3" s="39"/>
      <c r="K3" s="39"/>
      <c r="L3" s="39"/>
      <c r="M3" s="39"/>
      <c r="N3" s="39"/>
      <c r="O3" s="39"/>
      <c r="P3" s="39"/>
      <c r="Q3" s="39"/>
      <c r="R3" s="39"/>
      <c r="S3" s="40"/>
    </row>
    <row r="4" spans="1:19">
      <c r="A4" s="36"/>
      <c r="B4" s="36"/>
      <c r="C4" s="36"/>
      <c r="D4" s="36"/>
      <c r="E4" s="36"/>
      <c r="F4" s="36"/>
      <c r="G4" s="36"/>
      <c r="H4" s="36"/>
      <c r="I4" s="36"/>
      <c r="J4" s="36"/>
      <c r="K4" s="36"/>
      <c r="L4" s="36"/>
      <c r="M4" s="36"/>
      <c r="N4" s="36"/>
      <c r="O4" s="36"/>
      <c r="P4" s="36"/>
      <c r="Q4" s="36"/>
      <c r="R4" s="36"/>
      <c r="S4" s="36"/>
    </row>
    <row r="5" spans="1:19">
      <c r="A5" s="65" t="s">
        <v>153</v>
      </c>
      <c r="B5" s="66"/>
      <c r="C5" s="66"/>
      <c r="D5" s="66"/>
      <c r="E5" s="66"/>
      <c r="F5" s="66"/>
      <c r="G5" s="66"/>
      <c r="H5" s="66"/>
      <c r="I5" s="66"/>
      <c r="J5" s="66"/>
      <c r="K5" s="67"/>
    </row>
    <row r="6" spans="1:19">
      <c r="A6" s="68" t="s">
        <v>216</v>
      </c>
      <c r="B6" s="69"/>
      <c r="C6" s="69"/>
      <c r="D6" s="69"/>
      <c r="E6" s="69"/>
      <c r="F6" s="69"/>
      <c r="G6" s="69"/>
      <c r="H6" s="69"/>
      <c r="I6" s="69"/>
      <c r="J6" s="69"/>
      <c r="K6" s="70"/>
    </row>
    <row r="7" spans="1:19">
      <c r="A7" s="71" t="s">
        <v>248</v>
      </c>
      <c r="B7" s="72"/>
      <c r="C7" s="72"/>
      <c r="D7" s="72"/>
      <c r="E7" s="72"/>
      <c r="F7" s="72"/>
      <c r="G7" s="72"/>
      <c r="H7" s="72"/>
      <c r="I7" s="72"/>
      <c r="J7" s="72"/>
      <c r="K7" s="73"/>
    </row>
    <row r="8" spans="1:19">
      <c r="A8" s="34" t="s">
        <v>249</v>
      </c>
    </row>
    <row r="9" spans="1:19">
      <c r="B9" s="34" t="s">
        <v>250</v>
      </c>
      <c r="C9" s="34" t="s">
        <v>251</v>
      </c>
      <c r="D9" s="34" t="s">
        <v>252</v>
      </c>
      <c r="F9" s="34" t="s">
        <v>253</v>
      </c>
      <c r="H9" s="34" t="s">
        <v>254</v>
      </c>
    </row>
    <row r="10" spans="1:19">
      <c r="A10" s="34" t="s">
        <v>126</v>
      </c>
      <c r="B10" s="34">
        <v>10000</v>
      </c>
      <c r="C10" s="34">
        <v>6000</v>
      </c>
      <c r="D10" s="34">
        <v>7500</v>
      </c>
      <c r="F10" s="34">
        <f>+B10*B$16+C10*C$16+D10*D$16</f>
        <v>41000</v>
      </c>
      <c r="H10" s="34">
        <v>49610000</v>
      </c>
    </row>
    <row r="11" spans="1:19">
      <c r="A11" s="34" t="s">
        <v>255</v>
      </c>
      <c r="B11" s="34">
        <v>2500</v>
      </c>
      <c r="C11" s="34">
        <v>1600</v>
      </c>
      <c r="D11" s="34">
        <v>2000</v>
      </c>
      <c r="G11" s="34" t="s">
        <v>256</v>
      </c>
      <c r="H11" s="34">
        <f>+H10/F10</f>
        <v>1210</v>
      </c>
    </row>
    <row r="12" spans="1:19">
      <c r="A12" s="34" t="s">
        <v>257</v>
      </c>
      <c r="B12" s="34">
        <v>1600</v>
      </c>
      <c r="C12" s="34">
        <v>1100</v>
      </c>
      <c r="D12" s="34">
        <v>1200</v>
      </c>
    </row>
    <row r="13" spans="1:19">
      <c r="A13" s="34" t="s">
        <v>258</v>
      </c>
      <c r="B13" s="34">
        <v>1400</v>
      </c>
      <c r="C13" s="34">
        <v>900</v>
      </c>
      <c r="D13" s="34">
        <v>1200</v>
      </c>
    </row>
    <row r="14" spans="1:19">
      <c r="A14" s="34" t="s">
        <v>259</v>
      </c>
      <c r="B14" s="34">
        <v>600</v>
      </c>
      <c r="C14" s="34">
        <v>600</v>
      </c>
      <c r="D14" s="34">
        <v>600</v>
      </c>
    </row>
    <row r="16" spans="1:19">
      <c r="A16" s="34" t="s">
        <v>260</v>
      </c>
      <c r="B16" s="34">
        <v>2</v>
      </c>
      <c r="C16" s="34">
        <v>1</v>
      </c>
      <c r="D16" s="34">
        <v>2</v>
      </c>
      <c r="F16" s="43"/>
      <c r="G16" s="34" t="s">
        <v>134</v>
      </c>
    </row>
    <row r="17" spans="1:9">
      <c r="A17" s="34" t="s">
        <v>261</v>
      </c>
      <c r="B17" s="34">
        <f>+B10-SUM(B11:B14)</f>
        <v>3900</v>
      </c>
      <c r="C17" s="34">
        <f>+C10-SUM(C11:C14)</f>
        <v>1800</v>
      </c>
      <c r="D17" s="34">
        <f>+D10-SUM(D11:D14)</f>
        <v>2500</v>
      </c>
      <c r="F17" s="34">
        <f>+B16*B17+C16*C17+D16*D17</f>
        <v>14600</v>
      </c>
      <c r="G17" s="91">
        <f>+F17/F10</f>
        <v>0.35609756097560974</v>
      </c>
    </row>
    <row r="18" spans="1:9">
      <c r="A18" s="34" t="s">
        <v>262</v>
      </c>
      <c r="F18" s="107">
        <f>+H10*F17/F10</f>
        <v>17666000</v>
      </c>
    </row>
    <row r="19" spans="1:9" ht="17.25" thickBot="1">
      <c r="H19" s="34" t="s">
        <v>135</v>
      </c>
    </row>
    <row r="20" spans="1:9">
      <c r="A20" s="34" t="s">
        <v>263</v>
      </c>
      <c r="F20" s="34">
        <v>7050000</v>
      </c>
      <c r="H20" s="34" t="s">
        <v>264</v>
      </c>
      <c r="I20" s="108">
        <f>+F23</f>
        <v>4672000</v>
      </c>
    </row>
    <row r="21" spans="1:9">
      <c r="A21" s="34" t="s">
        <v>265</v>
      </c>
      <c r="F21" s="34">
        <v>3524000</v>
      </c>
      <c r="H21" s="34" t="s">
        <v>227</v>
      </c>
      <c r="I21" s="109">
        <f>+SUM(F20:F22)/G17</f>
        <v>36490000</v>
      </c>
    </row>
    <row r="22" spans="1:9" ht="17.25" thickBot="1">
      <c r="A22" s="34" t="s">
        <v>266</v>
      </c>
      <c r="F22" s="34">
        <v>2420000</v>
      </c>
      <c r="H22" s="34" t="s">
        <v>267</v>
      </c>
      <c r="I22" s="110">
        <f>+(H10-I21)/H10</f>
        <v>0.26446280991735538</v>
      </c>
    </row>
    <row r="23" spans="1:9" ht="17.25" thickBot="1">
      <c r="A23" s="34" t="s">
        <v>28</v>
      </c>
      <c r="F23" s="111">
        <f>+F18-SUM(F20:F22)</f>
        <v>4672000</v>
      </c>
    </row>
    <row r="24" spans="1:9" ht="17.25" thickTop="1"/>
    <row r="25" spans="1:9">
      <c r="A25" s="34" t="s">
        <v>268</v>
      </c>
    </row>
    <row r="26" spans="1:9">
      <c r="B26" s="34" t="s">
        <v>250</v>
      </c>
      <c r="C26" s="34" t="s">
        <v>251</v>
      </c>
      <c r="D26" s="34" t="s">
        <v>252</v>
      </c>
      <c r="E26" s="34" t="s">
        <v>269</v>
      </c>
      <c r="F26" s="34" t="s">
        <v>253</v>
      </c>
    </row>
    <row r="27" spans="1:9">
      <c r="A27" s="34" t="s">
        <v>126</v>
      </c>
      <c r="B27" s="34">
        <f>+B10*0.98</f>
        <v>9800</v>
      </c>
      <c r="C27" s="34">
        <f>+C10*0.95</f>
        <v>5700</v>
      </c>
      <c r="D27" s="34">
        <f>+D10</f>
        <v>7500</v>
      </c>
      <c r="E27" s="34">
        <v>6520</v>
      </c>
      <c r="F27" s="34">
        <f>+B27*B$33+C27*C$33+D27*D$33+E27*E$33</f>
        <v>62320</v>
      </c>
    </row>
    <row r="28" spans="1:9">
      <c r="A28" s="34" t="s">
        <v>255</v>
      </c>
      <c r="B28" s="34">
        <f>+B11</f>
        <v>2500</v>
      </c>
      <c r="C28" s="34">
        <f>+C11*1.05</f>
        <v>1680</v>
      </c>
      <c r="D28" s="34">
        <f>+D11*1.03</f>
        <v>2060</v>
      </c>
      <c r="E28" s="34">
        <v>1500</v>
      </c>
    </row>
    <row r="29" spans="1:9">
      <c r="A29" s="34" t="s">
        <v>257</v>
      </c>
      <c r="B29" s="34">
        <f>+B12</f>
        <v>1600</v>
      </c>
      <c r="C29" s="34">
        <f>+C12</f>
        <v>1100</v>
      </c>
      <c r="D29" s="34">
        <f>+D12</f>
        <v>1200</v>
      </c>
      <c r="E29" s="34">
        <v>1150</v>
      </c>
    </row>
    <row r="30" spans="1:9">
      <c r="A30" s="34" t="s">
        <v>258</v>
      </c>
      <c r="B30" s="34">
        <f>+B13</f>
        <v>1400</v>
      </c>
      <c r="C30" s="34">
        <f>+C13</f>
        <v>900</v>
      </c>
      <c r="D30" s="34">
        <f>+D13*0.93</f>
        <v>1116</v>
      </c>
      <c r="E30" s="34">
        <v>580</v>
      </c>
    </row>
    <row r="31" spans="1:9">
      <c r="A31" s="34" t="s">
        <v>259</v>
      </c>
      <c r="B31" s="34">
        <f>+B14*0.85</f>
        <v>510</v>
      </c>
      <c r="C31" s="34">
        <f>+C14*0.9</f>
        <v>540</v>
      </c>
      <c r="D31" s="34">
        <f>+D14*0.94</f>
        <v>564</v>
      </c>
      <c r="E31" s="34">
        <v>790</v>
      </c>
    </row>
    <row r="33" spans="1:10" ht="17.25" thickBot="1">
      <c r="A33" s="34" t="s">
        <v>260</v>
      </c>
      <c r="B33" s="34">
        <v>3</v>
      </c>
      <c r="C33" s="34">
        <v>2</v>
      </c>
      <c r="D33" s="34">
        <v>2</v>
      </c>
      <c r="E33" s="34">
        <v>1</v>
      </c>
    </row>
    <row r="34" spans="1:10" ht="17.25" thickBot="1">
      <c r="A34" s="34" t="s">
        <v>92</v>
      </c>
      <c r="B34" s="83">
        <f>+B33*$I$38</f>
        <v>2100</v>
      </c>
      <c r="C34" s="106">
        <f t="shared" ref="C34:E34" si="0">+C33*$I$38</f>
        <v>1400</v>
      </c>
      <c r="D34" s="106">
        <f t="shared" si="0"/>
        <v>1400</v>
      </c>
      <c r="E34" s="84">
        <f t="shared" si="0"/>
        <v>700</v>
      </c>
    </row>
    <row r="35" spans="1:10">
      <c r="A35" s="34" t="s">
        <v>261</v>
      </c>
      <c r="B35" s="34">
        <f>+B27-SUM(B28:B31)</f>
        <v>3790</v>
      </c>
      <c r="C35" s="34">
        <f>+C27-SUM(C28:C31)</f>
        <v>1480</v>
      </c>
      <c r="D35" s="34">
        <f>+D27-SUM(D28:D31)</f>
        <v>2560</v>
      </c>
      <c r="E35" s="34">
        <f>+E27-SUM(E28:E31)</f>
        <v>2500</v>
      </c>
      <c r="F35" s="34">
        <f>+B35*B$33+C35*C$33+D35*D$33+E35*E$33</f>
        <v>21950</v>
      </c>
    </row>
    <row r="36" spans="1:10">
      <c r="A36" s="34" t="s">
        <v>134</v>
      </c>
      <c r="E36" s="43"/>
      <c r="F36" s="112">
        <f>+F35/F27</f>
        <v>0.35221437740693196</v>
      </c>
    </row>
    <row r="37" spans="1:10" ht="17.25" thickBot="1">
      <c r="E37" s="34" t="s">
        <v>270</v>
      </c>
      <c r="H37" s="34" t="s">
        <v>136</v>
      </c>
    </row>
    <row r="38" spans="1:10" ht="17.25" thickBot="1">
      <c r="A38" s="34" t="s">
        <v>263</v>
      </c>
      <c r="E38" s="34">
        <v>1130000</v>
      </c>
      <c r="F38" s="34">
        <f>+F20+E38</f>
        <v>8180000</v>
      </c>
      <c r="H38" s="34" t="s">
        <v>271</v>
      </c>
      <c r="I38" s="76">
        <f>+F41/F36/F27</f>
        <v>700</v>
      </c>
      <c r="J38" s="34" t="s">
        <v>272</v>
      </c>
    </row>
    <row r="39" spans="1:10">
      <c r="A39" s="34" t="s">
        <v>265</v>
      </c>
      <c r="E39" s="34">
        <v>1200000</v>
      </c>
      <c r="F39" s="34">
        <f>+F21+E39</f>
        <v>4724000</v>
      </c>
      <c r="I39" s="34">
        <f>+I38*SUM(B33:E33)</f>
        <v>5600</v>
      </c>
      <c r="J39" s="34" t="s">
        <v>118</v>
      </c>
    </row>
    <row r="40" spans="1:10">
      <c r="A40" s="34" t="s">
        <v>266</v>
      </c>
      <c r="E40" s="34">
        <v>41000</v>
      </c>
      <c r="F40" s="34">
        <f>+F22+E40</f>
        <v>2461000</v>
      </c>
    </row>
    <row r="41" spans="1:10">
      <c r="F41" s="34">
        <f>+SUM(F38:F40)</f>
        <v>15365000</v>
      </c>
    </row>
    <row r="43" spans="1:10">
      <c r="A43" s="34" t="s">
        <v>273</v>
      </c>
    </row>
    <row r="44" spans="1:10">
      <c r="A44" s="34" t="s">
        <v>274</v>
      </c>
      <c r="B44" s="34">
        <v>25000</v>
      </c>
    </row>
    <row r="45" spans="1:10">
      <c r="A45" s="34" t="s">
        <v>275</v>
      </c>
      <c r="B45" s="95">
        <v>5</v>
      </c>
      <c r="C45" s="95">
        <v>4</v>
      </c>
      <c r="D45" s="95">
        <v>4</v>
      </c>
      <c r="E45" s="95">
        <v>2.5</v>
      </c>
    </row>
    <row r="46" spans="1:10">
      <c r="A46" s="34" t="s">
        <v>276</v>
      </c>
      <c r="B46" s="34">
        <v>2000</v>
      </c>
      <c r="C46" s="34">
        <v>4000</v>
      </c>
      <c r="D46" s="34">
        <v>1500</v>
      </c>
      <c r="E46" s="34">
        <v>1000</v>
      </c>
    </row>
    <row r="48" spans="1:10">
      <c r="A48" s="34" t="s">
        <v>233</v>
      </c>
    </row>
    <row r="49" spans="1:6">
      <c r="B49" s="34">
        <f>+B35/B45</f>
        <v>758</v>
      </c>
      <c r="C49" s="34">
        <f>+C35/C45</f>
        <v>370</v>
      </c>
      <c r="D49" s="34">
        <f>+D35/D45</f>
        <v>640</v>
      </c>
      <c r="E49" s="34">
        <f>+E35/E45</f>
        <v>1000</v>
      </c>
    </row>
    <row r="50" spans="1:6" ht="17.25" thickBot="1">
      <c r="A50" s="34" t="s">
        <v>277</v>
      </c>
      <c r="B50" s="34" t="s">
        <v>236</v>
      </c>
      <c r="C50" s="34" t="s">
        <v>278</v>
      </c>
      <c r="D50" s="34" t="s">
        <v>235</v>
      </c>
      <c r="E50" s="34" t="s">
        <v>237</v>
      </c>
    </row>
    <row r="51" spans="1:6" ht="17.25" thickBot="1">
      <c r="A51" s="34" t="s">
        <v>279</v>
      </c>
      <c r="B51" s="83">
        <v>2000</v>
      </c>
      <c r="C51" s="113">
        <v>1625</v>
      </c>
      <c r="D51" s="106">
        <v>1500</v>
      </c>
      <c r="E51" s="84">
        <v>1000</v>
      </c>
    </row>
    <row r="52" spans="1:6">
      <c r="A52" s="34" t="s">
        <v>280</v>
      </c>
      <c r="B52" s="34">
        <f>+B45*B51</f>
        <v>10000</v>
      </c>
      <c r="C52" s="34">
        <f t="shared" ref="C52:E52" si="1">+C45*C51</f>
        <v>6500</v>
      </c>
      <c r="D52" s="34">
        <f t="shared" si="1"/>
        <v>6000</v>
      </c>
      <c r="E52" s="34">
        <f t="shared" si="1"/>
        <v>2500</v>
      </c>
      <c r="F52" s="34">
        <f>+SUM(B52:E52)</f>
        <v>25000</v>
      </c>
    </row>
    <row r="54" spans="1:6">
      <c r="A54" s="34" t="s">
        <v>52</v>
      </c>
      <c r="B54" s="34">
        <f>+B51*B35</f>
        <v>7580000</v>
      </c>
      <c r="C54" s="34">
        <f>+C51*C35</f>
        <v>2405000</v>
      </c>
      <c r="D54" s="34">
        <f>+D51*D35</f>
        <v>3840000</v>
      </c>
      <c r="E54" s="34">
        <f>+E51*E35</f>
        <v>2500000</v>
      </c>
      <c r="F54" s="34">
        <f>+SUM(B54:E54)</f>
        <v>16325000</v>
      </c>
    </row>
    <row r="55" spans="1:6">
      <c r="A55" s="34" t="s">
        <v>76</v>
      </c>
      <c r="F55" s="34">
        <f>+F41</f>
        <v>15365000</v>
      </c>
    </row>
    <row r="56" spans="1:6" ht="17.25" thickBot="1">
      <c r="A56" s="34" t="s">
        <v>28</v>
      </c>
      <c r="F56" s="111">
        <f>+F54-F55</f>
        <v>960000</v>
      </c>
    </row>
    <row r="57" spans="1:6" ht="17.25" thickTop="1"/>
  </sheetData>
  <phoneticPr fontId="4"/>
  <pageMargins left="0.25" right="0.25" top="0.75" bottom="0.75" header="0.3" footer="0.3"/>
  <pageSetup paperSize="9" scale="54"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CEED7-595B-4BEC-B33E-74FB1BA385AF}">
  <sheetPr>
    <pageSetUpPr fitToPage="1"/>
  </sheetPr>
  <dimension ref="A1:S46"/>
  <sheetViews>
    <sheetView workbookViewId="0">
      <selection activeCell="G13" sqref="G13"/>
    </sheetView>
  </sheetViews>
  <sheetFormatPr defaultColWidth="12" defaultRowHeight="16.5"/>
  <cols>
    <col min="1"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215</v>
      </c>
      <c r="B2" s="36"/>
      <c r="C2" s="36"/>
      <c r="D2" s="36"/>
      <c r="E2" s="36"/>
      <c r="F2" s="36"/>
      <c r="G2" s="36"/>
      <c r="H2" s="36"/>
      <c r="I2" s="36"/>
      <c r="J2" s="36"/>
      <c r="K2" s="36"/>
      <c r="L2" s="36"/>
      <c r="M2" s="36"/>
      <c r="N2" s="36"/>
      <c r="O2" s="36"/>
      <c r="P2" s="36"/>
      <c r="Q2" s="36"/>
      <c r="R2" s="36"/>
      <c r="S2" s="37"/>
    </row>
    <row r="3" spans="1:19">
      <c r="A3" s="38" t="s">
        <v>48</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6"/>
      <c r="E5" s="66"/>
      <c r="F5" s="66"/>
      <c r="G5" s="66"/>
      <c r="H5" s="66"/>
      <c r="I5" s="66"/>
      <c r="J5" s="66"/>
      <c r="K5" s="66"/>
      <c r="L5" s="66"/>
      <c r="M5" s="67"/>
    </row>
    <row r="6" spans="1:19">
      <c r="A6" s="68" t="s">
        <v>228</v>
      </c>
      <c r="B6" s="69"/>
      <c r="C6" s="69"/>
      <c r="D6" s="69"/>
      <c r="E6" s="69"/>
      <c r="F6" s="69"/>
      <c r="G6" s="69"/>
      <c r="H6" s="69"/>
      <c r="I6" s="69"/>
      <c r="J6" s="69"/>
      <c r="K6" s="69"/>
      <c r="L6" s="69"/>
      <c r="M6" s="70"/>
    </row>
    <row r="7" spans="1:19">
      <c r="A7" s="71" t="s">
        <v>245</v>
      </c>
      <c r="B7" s="72"/>
      <c r="C7" s="72"/>
      <c r="D7" s="72"/>
      <c r="E7" s="72"/>
      <c r="F7" s="72"/>
      <c r="G7" s="72"/>
      <c r="H7" s="72"/>
      <c r="I7" s="72"/>
      <c r="J7" s="72"/>
      <c r="K7" s="72"/>
      <c r="L7" s="72"/>
      <c r="M7" s="73"/>
    </row>
    <row r="9" spans="1:19">
      <c r="A9" s="34" t="s">
        <v>281</v>
      </c>
    </row>
    <row r="10" spans="1:19">
      <c r="B10" s="34" t="s">
        <v>229</v>
      </c>
      <c r="C10" s="34" t="s">
        <v>230</v>
      </c>
      <c r="E10" s="34" t="s">
        <v>253</v>
      </c>
    </row>
    <row r="11" spans="1:19">
      <c r="A11" s="34" t="s">
        <v>126</v>
      </c>
      <c r="B11" s="34">
        <v>40000</v>
      </c>
      <c r="C11" s="34">
        <v>55000</v>
      </c>
      <c r="E11" s="34">
        <f>+B11*B$14+C11*C$14</f>
        <v>230000</v>
      </c>
    </row>
    <row r="12" spans="1:19">
      <c r="A12" s="34" t="s">
        <v>69</v>
      </c>
      <c r="B12" s="34">
        <v>25000</v>
      </c>
      <c r="C12" s="34">
        <v>30000</v>
      </c>
    </row>
    <row r="13" spans="1:19">
      <c r="A13" s="34" t="s">
        <v>52</v>
      </c>
      <c r="B13" s="34">
        <f>+B11-B12</f>
        <v>15000</v>
      </c>
      <c r="C13" s="34">
        <f>+C11-C12</f>
        <v>25000</v>
      </c>
      <c r="E13" s="34">
        <f>+B13*B$14+C13*C$14</f>
        <v>95000</v>
      </c>
    </row>
    <row r="14" spans="1:19">
      <c r="A14" s="34" t="s">
        <v>282</v>
      </c>
      <c r="B14" s="34">
        <v>3</v>
      </c>
      <c r="C14" s="34">
        <v>2</v>
      </c>
    </row>
    <row r="15" spans="1:19">
      <c r="A15" s="34" t="s">
        <v>134</v>
      </c>
      <c r="E15" s="43">
        <f>+E13/E11</f>
        <v>0.41304347826086957</v>
      </c>
    </row>
    <row r="17" spans="1:9" ht="17.25" thickBot="1">
      <c r="A17" s="34" t="s">
        <v>76</v>
      </c>
      <c r="E17" s="34">
        <v>7600000</v>
      </c>
    </row>
    <row r="18" spans="1:9">
      <c r="G18" s="34" t="s">
        <v>271</v>
      </c>
      <c r="H18" s="108">
        <f>+E17/E15/E11</f>
        <v>80</v>
      </c>
      <c r="I18" s="34" t="s">
        <v>272</v>
      </c>
    </row>
    <row r="19" spans="1:9">
      <c r="G19" s="34" t="s">
        <v>229</v>
      </c>
      <c r="H19" s="109">
        <f>+H18*B14</f>
        <v>240</v>
      </c>
      <c r="I19" s="34" t="s">
        <v>118</v>
      </c>
    </row>
    <row r="20" spans="1:9" ht="17.25" thickBot="1">
      <c r="G20" s="34" t="s">
        <v>230</v>
      </c>
      <c r="H20" s="81">
        <f>+H18*C14</f>
        <v>160</v>
      </c>
      <c r="I20" s="34" t="s">
        <v>118</v>
      </c>
    </row>
    <row r="21" spans="1:9" ht="17.25" thickBot="1">
      <c r="A21" s="34" t="s">
        <v>283</v>
      </c>
    </row>
    <row r="22" spans="1:9">
      <c r="D22" s="34" t="s">
        <v>284</v>
      </c>
      <c r="E22" s="34">
        <v>9500000</v>
      </c>
      <c r="G22" s="34" t="s">
        <v>285</v>
      </c>
      <c r="H22" s="108">
        <f>+(E22+E17)/E15/E11</f>
        <v>180</v>
      </c>
      <c r="I22" s="34" t="s">
        <v>272</v>
      </c>
    </row>
    <row r="23" spans="1:9">
      <c r="G23" s="34" t="s">
        <v>229</v>
      </c>
      <c r="H23" s="109">
        <f>+H22*B14</f>
        <v>540</v>
      </c>
      <c r="I23" s="34" t="s">
        <v>118</v>
      </c>
    </row>
    <row r="24" spans="1:9" ht="17.25" thickBot="1">
      <c r="G24" s="34" t="s">
        <v>230</v>
      </c>
      <c r="H24" s="81">
        <f>+H22*C14</f>
        <v>360</v>
      </c>
      <c r="I24" s="34" t="s">
        <v>118</v>
      </c>
    </row>
    <row r="26" spans="1:9">
      <c r="A26" s="34" t="s">
        <v>286</v>
      </c>
    </row>
    <row r="27" spans="1:9">
      <c r="B27" s="34" t="s">
        <v>229</v>
      </c>
      <c r="C27" s="34" t="s">
        <v>230</v>
      </c>
    </row>
    <row r="28" spans="1:9">
      <c r="A28" s="34" t="s">
        <v>287</v>
      </c>
      <c r="B28" s="34" t="s">
        <v>288</v>
      </c>
      <c r="C28" s="99" t="s">
        <v>289</v>
      </c>
      <c r="D28" s="99" t="s">
        <v>290</v>
      </c>
    </row>
    <row r="29" spans="1:9">
      <c r="A29" s="34" t="s">
        <v>291</v>
      </c>
      <c r="B29" s="34" t="s">
        <v>229</v>
      </c>
      <c r="C29" s="99" t="s">
        <v>292</v>
      </c>
      <c r="D29" s="99" t="s">
        <v>293</v>
      </c>
    </row>
    <row r="30" spans="1:9" ht="17.25" thickBot="1">
      <c r="A30" s="34" t="s">
        <v>294</v>
      </c>
    </row>
    <row r="31" spans="1:9" ht="17.25" thickBot="1">
      <c r="B31" s="83">
        <v>400</v>
      </c>
      <c r="C31" s="84">
        <v>300</v>
      </c>
    </row>
    <row r="33" spans="1:6">
      <c r="A33" s="34" t="s">
        <v>295</v>
      </c>
    </row>
    <row r="35" spans="1:6">
      <c r="B35" s="34" t="s">
        <v>229</v>
      </c>
      <c r="C35" s="34" t="s">
        <v>230</v>
      </c>
    </row>
    <row r="36" spans="1:6">
      <c r="A36" s="34" t="s">
        <v>126</v>
      </c>
      <c r="B36" s="34">
        <v>45000</v>
      </c>
      <c r="C36" s="34">
        <v>55000</v>
      </c>
    </row>
    <row r="37" spans="1:6">
      <c r="A37" s="34" t="s">
        <v>69</v>
      </c>
      <c r="B37" s="34">
        <v>25000</v>
      </c>
      <c r="C37" s="34">
        <v>30000</v>
      </c>
    </row>
    <row r="38" spans="1:6">
      <c r="A38" s="34" t="s">
        <v>52</v>
      </c>
      <c r="B38" s="34">
        <f>+B36-B37</f>
        <v>20000</v>
      </c>
      <c r="C38" s="34">
        <f>+C36-C37</f>
        <v>25000</v>
      </c>
    </row>
    <row r="40" spans="1:6">
      <c r="A40" s="34" t="s">
        <v>296</v>
      </c>
      <c r="E40" s="29" t="s">
        <v>297</v>
      </c>
    </row>
    <row r="42" spans="1:6" ht="17.25" thickBot="1">
      <c r="A42" s="34" t="s">
        <v>298</v>
      </c>
      <c r="B42" s="34" t="s">
        <v>229</v>
      </c>
      <c r="C42" s="34" t="s">
        <v>230</v>
      </c>
      <c r="D42" s="34" t="s">
        <v>52</v>
      </c>
      <c r="E42" s="34" t="s">
        <v>28</v>
      </c>
    </row>
    <row r="43" spans="1:6" ht="17.25" thickBot="1">
      <c r="A43" s="34" t="s">
        <v>299</v>
      </c>
      <c r="B43" s="34">
        <v>400</v>
      </c>
      <c r="C43" s="34">
        <v>300</v>
      </c>
      <c r="D43" s="34">
        <f>+B43*B$38+C43*C$38</f>
        <v>15500000</v>
      </c>
      <c r="E43" s="114">
        <f>+D43-$E$17</f>
        <v>7900000</v>
      </c>
    </row>
    <row r="44" spans="1:6" ht="17.25" thickBot="1">
      <c r="A44" s="34" t="s">
        <v>300</v>
      </c>
      <c r="B44" s="83">
        <v>640</v>
      </c>
      <c r="C44" s="84">
        <v>180</v>
      </c>
      <c r="D44" s="34">
        <f t="shared" ref="D44:D46" si="0">+B44*B$38+C44*C$38</f>
        <v>17300000</v>
      </c>
      <c r="E44" s="115">
        <f t="shared" ref="E44:E46" si="1">+D44-$E$17</f>
        <v>9700000</v>
      </c>
      <c r="F44" s="34" t="s">
        <v>301</v>
      </c>
    </row>
    <row r="45" spans="1:6">
      <c r="A45" s="34" t="s">
        <v>302</v>
      </c>
      <c r="B45" s="34">
        <v>700</v>
      </c>
      <c r="C45" s="34">
        <v>0</v>
      </c>
      <c r="D45" s="34">
        <f t="shared" si="0"/>
        <v>14000000</v>
      </c>
      <c r="E45" s="115">
        <f t="shared" si="1"/>
        <v>6400000</v>
      </c>
    </row>
    <row r="46" spans="1:6" ht="17.25" thickBot="1">
      <c r="A46" s="34" t="s">
        <v>303</v>
      </c>
      <c r="B46" s="34">
        <v>0</v>
      </c>
      <c r="C46" s="34">
        <v>300</v>
      </c>
      <c r="D46" s="34">
        <f t="shared" si="0"/>
        <v>7500000</v>
      </c>
      <c r="E46" s="116">
        <f t="shared" si="1"/>
        <v>-100000</v>
      </c>
    </row>
  </sheetData>
  <phoneticPr fontId="4"/>
  <pageMargins left="0.25" right="0.25"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7FB5-96CC-40CB-9252-1FBC8BE6AE22}">
  <sheetPr>
    <pageSetUpPr fitToPage="1"/>
  </sheetPr>
  <dimension ref="A1:S17"/>
  <sheetViews>
    <sheetView workbookViewId="0">
      <selection activeCell="E13" sqref="E13"/>
    </sheetView>
  </sheetViews>
  <sheetFormatPr defaultColWidth="12" defaultRowHeight="16.5"/>
  <cols>
    <col min="1" max="1" width="17.140625" style="34" customWidth="1"/>
    <col min="2"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152</v>
      </c>
      <c r="B2" s="36"/>
      <c r="C2" s="36"/>
      <c r="D2" s="36"/>
      <c r="E2" s="36"/>
      <c r="F2" s="36"/>
      <c r="G2" s="36"/>
      <c r="H2" s="36"/>
      <c r="I2" s="36"/>
      <c r="J2" s="36"/>
      <c r="K2" s="36"/>
      <c r="L2" s="36"/>
      <c r="M2" s="36"/>
      <c r="N2" s="36"/>
      <c r="O2" s="36"/>
      <c r="P2" s="36"/>
      <c r="Q2" s="36"/>
      <c r="R2" s="36"/>
      <c r="S2" s="37"/>
    </row>
    <row r="3" spans="1:19">
      <c r="A3" s="38" t="s">
        <v>54</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6"/>
      <c r="E5" s="66"/>
      <c r="F5" s="67"/>
    </row>
    <row r="6" spans="1:19">
      <c r="A6" s="71" t="s">
        <v>154</v>
      </c>
      <c r="B6" s="72"/>
      <c r="C6" s="72"/>
      <c r="D6" s="72"/>
      <c r="E6" s="72"/>
      <c r="F6" s="73"/>
    </row>
    <row r="8" spans="1:19">
      <c r="A8" s="34" t="s">
        <v>28</v>
      </c>
      <c r="B8" s="34">
        <v>300000</v>
      </c>
    </row>
    <row r="9" spans="1:19">
      <c r="A9" s="34" t="s">
        <v>13</v>
      </c>
      <c r="B9" s="34">
        <v>2000000</v>
      </c>
    </row>
    <row r="10" spans="1:19">
      <c r="A10" s="34" t="s">
        <v>155</v>
      </c>
      <c r="B10" s="34">
        <v>3000000</v>
      </c>
    </row>
    <row r="11" spans="1:19">
      <c r="A11" s="34" t="s">
        <v>156</v>
      </c>
      <c r="B11" s="43">
        <v>0.08</v>
      </c>
    </row>
    <row r="13" spans="1:19" ht="17.25" thickBot="1">
      <c r="A13" s="34" t="s">
        <v>135</v>
      </c>
    </row>
    <row r="14" spans="1:19">
      <c r="A14" s="34" t="s">
        <v>157</v>
      </c>
      <c r="B14" s="78">
        <f>+B8/B9</f>
        <v>0.15</v>
      </c>
    </row>
    <row r="15" spans="1:19">
      <c r="A15" s="34" t="s">
        <v>158</v>
      </c>
      <c r="B15" s="79">
        <f>+B9/B10</f>
        <v>0.66666666666666663</v>
      </c>
      <c r="C15" s="34" t="s">
        <v>159</v>
      </c>
    </row>
    <row r="16" spans="1:19">
      <c r="A16" s="34" t="s">
        <v>160</v>
      </c>
      <c r="B16" s="80">
        <f>+B8/B10</f>
        <v>0.1</v>
      </c>
    </row>
    <row r="17" spans="1:3" ht="17.25" thickBot="1">
      <c r="A17" s="34" t="s">
        <v>161</v>
      </c>
      <c r="B17" s="81">
        <f>+B8-B10*B11</f>
        <v>60000</v>
      </c>
      <c r="C17" s="34" t="s">
        <v>162</v>
      </c>
    </row>
  </sheetData>
  <phoneticPr fontId="4"/>
  <pageMargins left="0.25" right="0.25"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CE18C-222C-4032-B389-B79773FDA5D9}">
  <sheetPr>
    <pageSetUpPr fitToPage="1"/>
  </sheetPr>
  <dimension ref="A1:S34"/>
  <sheetViews>
    <sheetView workbookViewId="0">
      <selection activeCell="E16" sqref="E16"/>
    </sheetView>
  </sheetViews>
  <sheetFormatPr defaultColWidth="12" defaultRowHeight="16.5"/>
  <cols>
    <col min="1" max="1" width="17.140625" style="34" customWidth="1"/>
    <col min="2"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152</v>
      </c>
      <c r="B2" s="36"/>
      <c r="C2" s="36"/>
      <c r="D2" s="36"/>
      <c r="E2" s="36"/>
      <c r="F2" s="36"/>
      <c r="G2" s="36"/>
      <c r="H2" s="36"/>
      <c r="I2" s="36"/>
      <c r="J2" s="36"/>
      <c r="K2" s="36"/>
      <c r="L2" s="36"/>
      <c r="M2" s="36"/>
      <c r="N2" s="36"/>
      <c r="O2" s="36"/>
      <c r="P2" s="36"/>
      <c r="Q2" s="36"/>
      <c r="R2" s="36"/>
      <c r="S2" s="37"/>
    </row>
    <row r="3" spans="1:19">
      <c r="A3" s="38" t="s">
        <v>65</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6"/>
      <c r="E5" s="66"/>
      <c r="F5" s="67"/>
    </row>
    <row r="6" spans="1:19">
      <c r="A6" s="71" t="s">
        <v>154</v>
      </c>
      <c r="B6" s="72"/>
      <c r="C6" s="72"/>
      <c r="D6" s="72"/>
      <c r="E6" s="72"/>
      <c r="F6" s="73"/>
    </row>
    <row r="8" spans="1:19">
      <c r="C8" s="34" t="s">
        <v>163</v>
      </c>
      <c r="D8" s="34" t="s">
        <v>164</v>
      </c>
    </row>
    <row r="9" spans="1:19">
      <c r="B9" s="34" t="s">
        <v>165</v>
      </c>
      <c r="C9" s="34">
        <v>100000</v>
      </c>
      <c r="D9" s="34">
        <v>300000</v>
      </c>
    </row>
    <row r="10" spans="1:19">
      <c r="B10" s="34" t="s">
        <v>166</v>
      </c>
      <c r="C10" s="34">
        <v>20000</v>
      </c>
      <c r="D10" s="34">
        <v>120000</v>
      </c>
    </row>
    <row r="11" spans="1:19">
      <c r="B11" s="34" t="s">
        <v>167</v>
      </c>
      <c r="C11" s="34">
        <v>20000</v>
      </c>
      <c r="D11" s="34">
        <v>45000</v>
      </c>
    </row>
    <row r="12" spans="1:19">
      <c r="B12" s="34" t="s">
        <v>156</v>
      </c>
      <c r="C12" s="43">
        <v>0.1</v>
      </c>
      <c r="D12" s="43">
        <v>0.1</v>
      </c>
    </row>
    <row r="14" spans="1:19">
      <c r="A14" s="34" t="s">
        <v>135</v>
      </c>
      <c r="B14" s="34" t="s">
        <v>168</v>
      </c>
      <c r="C14" s="82">
        <f>+C11/C9</f>
        <v>0.2</v>
      </c>
      <c r="D14" s="82">
        <f>+D11/D9</f>
        <v>0.15</v>
      </c>
    </row>
    <row r="15" spans="1:19" ht="17.25" thickBot="1"/>
    <row r="16" spans="1:19" ht="17.25" thickBot="1">
      <c r="A16" s="34" t="s">
        <v>136</v>
      </c>
      <c r="B16" s="34" t="s">
        <v>161</v>
      </c>
      <c r="C16" s="83">
        <f>+C11-C9*C12</f>
        <v>10000</v>
      </c>
      <c r="D16" s="84">
        <f>+D11-D9*D12</f>
        <v>15000</v>
      </c>
    </row>
    <row r="18" spans="1:9">
      <c r="A18" s="34" t="s">
        <v>147</v>
      </c>
      <c r="B18" s="34" t="s">
        <v>169</v>
      </c>
    </row>
    <row r="19" spans="1:9">
      <c r="C19" s="85"/>
      <c r="D19" s="86" t="s">
        <v>170</v>
      </c>
      <c r="E19" s="34" t="s">
        <v>171</v>
      </c>
      <c r="F19" s="34" t="s">
        <v>151</v>
      </c>
      <c r="G19" s="43" t="s">
        <v>172</v>
      </c>
    </row>
    <row r="20" spans="1:9">
      <c r="C20" s="87"/>
      <c r="D20" s="88">
        <v>160000</v>
      </c>
      <c r="E20" s="43">
        <v>0.1</v>
      </c>
      <c r="F20" s="43">
        <v>0.4</v>
      </c>
      <c r="G20" s="43">
        <f>+E20*(1-F20)</f>
        <v>0.06</v>
      </c>
    </row>
    <row r="21" spans="1:9">
      <c r="C21" s="87"/>
      <c r="D21" s="86" t="s">
        <v>173</v>
      </c>
    </row>
    <row r="22" spans="1:9" ht="17.25" thickBot="1">
      <c r="C22" s="89"/>
      <c r="D22" s="88">
        <v>100000</v>
      </c>
      <c r="E22" s="43">
        <v>0.15</v>
      </c>
      <c r="H22" s="34" t="s">
        <v>174</v>
      </c>
    </row>
    <row r="23" spans="1:9" ht="17.25" thickBot="1">
      <c r="F23" s="43"/>
      <c r="H23" s="90">
        <f>+(D20*G20+D22*E22)/(D20+D22)</f>
        <v>9.4615384615384615E-2</v>
      </c>
      <c r="I23" s="34" t="s">
        <v>175</v>
      </c>
    </row>
    <row r="24" spans="1:9" ht="17.25" thickBot="1">
      <c r="B24" s="34" t="s">
        <v>176</v>
      </c>
      <c r="C24" s="83">
        <f>+C11*(1-F20)-(C9-C10)*$H$24</f>
        <v>4400</v>
      </c>
      <c r="D24" s="84">
        <f>+D11*(1-F20)-(D9-D10)*$H$24</f>
        <v>9900</v>
      </c>
      <c r="H24" s="91">
        <f>+ROUND(H23,3)</f>
        <v>9.5000000000000001E-2</v>
      </c>
      <c r="I24" s="34" t="s">
        <v>177</v>
      </c>
    </row>
    <row r="25" spans="1:9">
      <c r="D25" s="34" t="s">
        <v>178</v>
      </c>
    </row>
    <row r="27" spans="1:9">
      <c r="A27" s="34" t="s">
        <v>179</v>
      </c>
      <c r="C27" s="34" t="s">
        <v>180</v>
      </c>
      <c r="D27" s="34" t="s">
        <v>181</v>
      </c>
    </row>
    <row r="28" spans="1:9">
      <c r="B28" s="34" t="s">
        <v>182</v>
      </c>
      <c r="C28" s="34">
        <v>100000</v>
      </c>
      <c r="D28" s="34">
        <v>1000</v>
      </c>
    </row>
    <row r="29" spans="1:9">
      <c r="B29" s="34" t="s">
        <v>166</v>
      </c>
      <c r="C29" s="34">
        <v>20000</v>
      </c>
    </row>
    <row r="30" spans="1:9" ht="17.25" thickBot="1">
      <c r="B30" s="34" t="s">
        <v>183</v>
      </c>
      <c r="C30" s="34">
        <v>20000</v>
      </c>
      <c r="D30" s="34">
        <v>160</v>
      </c>
    </row>
    <row r="31" spans="1:9" ht="17.25" thickBot="1">
      <c r="B31" s="34" t="s">
        <v>184</v>
      </c>
      <c r="C31" s="91">
        <f>+C30/C28</f>
        <v>0.2</v>
      </c>
      <c r="D31" s="92">
        <f>+D30/D28</f>
        <v>0.16</v>
      </c>
      <c r="E31" s="34" t="s">
        <v>185</v>
      </c>
    </row>
    <row r="33" spans="2:5" ht="17.25" thickBot="1">
      <c r="B33" s="34" t="s">
        <v>156</v>
      </c>
      <c r="D33" s="91">
        <v>0.1</v>
      </c>
    </row>
    <row r="34" spans="2:5" ht="17.25" thickBot="1">
      <c r="B34" s="34" t="s">
        <v>161</v>
      </c>
      <c r="D34" s="93">
        <f>+D30-D28*D33</f>
        <v>60</v>
      </c>
      <c r="E34" s="34" t="s">
        <v>186</v>
      </c>
    </row>
  </sheetData>
  <phoneticPr fontId="4"/>
  <pageMargins left="0.25" right="0.25" top="0.75" bottom="0.75" header="0.3" footer="0.3"/>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7621-1D51-480D-B463-EC30C0FA78BF}">
  <sheetPr>
    <pageSetUpPr fitToPage="1"/>
  </sheetPr>
  <dimension ref="A1:S6"/>
  <sheetViews>
    <sheetView workbookViewId="0">
      <selection activeCell="E16" sqref="E16"/>
    </sheetView>
  </sheetViews>
  <sheetFormatPr defaultColWidth="12" defaultRowHeight="16.5"/>
  <cols>
    <col min="1" max="1" width="17.140625" style="34" customWidth="1"/>
    <col min="2"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152</v>
      </c>
      <c r="B2" s="36"/>
      <c r="C2" s="36"/>
      <c r="D2" s="36"/>
      <c r="E2" s="36"/>
      <c r="F2" s="36"/>
      <c r="G2" s="36"/>
      <c r="H2" s="36"/>
      <c r="I2" s="36"/>
      <c r="J2" s="36"/>
      <c r="K2" s="36"/>
      <c r="L2" s="36"/>
      <c r="M2" s="36"/>
      <c r="N2" s="36"/>
      <c r="O2" s="36"/>
      <c r="P2" s="36"/>
      <c r="Q2" s="36"/>
      <c r="R2" s="36"/>
      <c r="S2" s="37"/>
    </row>
    <row r="3" spans="1:19">
      <c r="A3" s="38" t="s">
        <v>187</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6"/>
      <c r="E5" s="66"/>
      <c r="F5" s="67"/>
    </row>
    <row r="6" spans="1:19">
      <c r="A6" s="71" t="s">
        <v>188</v>
      </c>
      <c r="B6" s="72"/>
      <c r="C6" s="72"/>
      <c r="D6" s="72"/>
      <c r="E6" s="72"/>
      <c r="F6" s="73"/>
    </row>
  </sheetData>
  <phoneticPr fontId="4"/>
  <pageMargins left="0.25" right="0.25"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01B2D-91E0-4C80-8544-00BB21B23CD9}">
  <sheetPr>
    <pageSetUpPr fitToPage="1"/>
  </sheetPr>
  <dimension ref="A1:S18"/>
  <sheetViews>
    <sheetView workbookViewId="0">
      <selection activeCell="E16" sqref="E16"/>
    </sheetView>
  </sheetViews>
  <sheetFormatPr defaultColWidth="12" defaultRowHeight="16.5"/>
  <cols>
    <col min="1" max="1" width="17.140625" style="34" customWidth="1"/>
    <col min="2"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152</v>
      </c>
      <c r="B2" s="36"/>
      <c r="C2" s="36"/>
      <c r="D2" s="36"/>
      <c r="E2" s="36"/>
      <c r="F2" s="36"/>
      <c r="G2" s="36"/>
      <c r="H2" s="36"/>
      <c r="I2" s="36"/>
      <c r="J2" s="36"/>
      <c r="K2" s="36"/>
      <c r="L2" s="36"/>
      <c r="M2" s="36"/>
      <c r="N2" s="36"/>
      <c r="O2" s="36"/>
      <c r="P2" s="36"/>
      <c r="Q2" s="36"/>
      <c r="R2" s="36"/>
      <c r="S2" s="37"/>
    </row>
    <row r="3" spans="1:19">
      <c r="A3" s="38" t="s">
        <v>48</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6"/>
      <c r="E5" s="66"/>
      <c r="F5" s="67"/>
    </row>
    <row r="6" spans="1:19">
      <c r="A6" s="71" t="s">
        <v>189</v>
      </c>
      <c r="B6" s="72"/>
      <c r="C6" s="72"/>
      <c r="D6" s="72"/>
      <c r="E6" s="72"/>
      <c r="F6" s="73"/>
    </row>
    <row r="9" spans="1:19" ht="17.25" thickBot="1">
      <c r="B9" s="34" t="s">
        <v>190</v>
      </c>
      <c r="C9" s="34" t="s">
        <v>191</v>
      </c>
      <c r="D9" s="34" t="s">
        <v>192</v>
      </c>
    </row>
    <row r="10" spans="1:19" ht="17.25" thickBot="1">
      <c r="A10" s="34" t="s">
        <v>13</v>
      </c>
      <c r="B10" s="34">
        <v>100000</v>
      </c>
      <c r="C10" s="34">
        <v>80000</v>
      </c>
      <c r="D10" s="76">
        <f>+D12*D14</f>
        <v>15000000</v>
      </c>
    </row>
    <row r="11" spans="1:19" ht="17.25" thickBot="1">
      <c r="A11" s="34" t="s">
        <v>193</v>
      </c>
      <c r="B11" s="34">
        <v>7000</v>
      </c>
      <c r="C11" s="34">
        <v>5000</v>
      </c>
      <c r="D11" s="76">
        <f>+D10*D13</f>
        <v>150000</v>
      </c>
    </row>
    <row r="12" spans="1:19" ht="17.25" thickBot="1">
      <c r="A12" s="34" t="s">
        <v>155</v>
      </c>
      <c r="B12" s="34">
        <v>50000</v>
      </c>
      <c r="C12" s="76">
        <f>+C11/C15</f>
        <v>100000</v>
      </c>
      <c r="D12" s="34">
        <v>5000000</v>
      </c>
    </row>
    <row r="13" spans="1:19" ht="17.25" thickBot="1">
      <c r="A13" s="34" t="s">
        <v>194</v>
      </c>
      <c r="B13" s="92">
        <f>+B11/B10</f>
        <v>7.0000000000000007E-2</v>
      </c>
      <c r="C13" s="92">
        <f>+C11/C10</f>
        <v>6.25E-2</v>
      </c>
      <c r="D13" s="91">
        <v>0.01</v>
      </c>
    </row>
    <row r="14" spans="1:19" ht="17.25" thickBot="1">
      <c r="A14" s="34" t="s">
        <v>195</v>
      </c>
      <c r="B14" s="94">
        <f>+B10/B12</f>
        <v>2</v>
      </c>
      <c r="C14" s="94">
        <f>+C10/C12</f>
        <v>0.8</v>
      </c>
      <c r="D14" s="95">
        <v>3</v>
      </c>
    </row>
    <row r="15" spans="1:19" ht="17.25" thickBot="1">
      <c r="A15" s="34" t="s">
        <v>196</v>
      </c>
      <c r="B15" s="92">
        <f>+B11/B12</f>
        <v>0.14000000000000001</v>
      </c>
      <c r="C15" s="91">
        <v>0.05</v>
      </c>
      <c r="D15" s="92">
        <f>+D11/D12</f>
        <v>0.03</v>
      </c>
    </row>
    <row r="17" spans="3:3">
      <c r="C17" s="34" t="s">
        <v>197</v>
      </c>
    </row>
    <row r="18" spans="3:3">
      <c r="C18" s="34" t="s">
        <v>198</v>
      </c>
    </row>
  </sheetData>
  <phoneticPr fontId="4"/>
  <pageMargins left="0.25" right="0.25" top="0.75" bottom="0.75" header="0.3" footer="0.3"/>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5D2F9-409A-4AD4-B2A1-E03B843CC00F}">
  <sheetPr>
    <pageSetUpPr fitToPage="1"/>
  </sheetPr>
  <dimension ref="A1:T23"/>
  <sheetViews>
    <sheetView workbookViewId="0">
      <selection activeCell="E16" sqref="E16"/>
    </sheetView>
  </sheetViews>
  <sheetFormatPr defaultColWidth="12" defaultRowHeight="16.5"/>
  <cols>
    <col min="1" max="1" width="12.140625" style="34" customWidth="1"/>
    <col min="2" max="16384" width="12" style="34"/>
  </cols>
  <sheetData>
    <row r="1" spans="1:20">
      <c r="A1" s="1" t="s">
        <v>0</v>
      </c>
      <c r="B1" s="32"/>
      <c r="C1" s="32"/>
      <c r="D1" s="32"/>
      <c r="E1" s="32"/>
      <c r="F1" s="32"/>
      <c r="G1" s="32"/>
      <c r="H1" s="32"/>
      <c r="I1" s="32"/>
      <c r="J1" s="32"/>
      <c r="K1" s="32"/>
      <c r="L1" s="32"/>
      <c r="M1" s="32"/>
      <c r="N1" s="32"/>
      <c r="O1" s="32"/>
      <c r="P1" s="32"/>
      <c r="Q1" s="32"/>
      <c r="R1" s="32"/>
      <c r="S1" s="32"/>
      <c r="T1" s="33"/>
    </row>
    <row r="2" spans="1:20">
      <c r="A2" s="35" t="s">
        <v>152</v>
      </c>
      <c r="B2" s="36"/>
      <c r="C2" s="36"/>
      <c r="D2" s="36"/>
      <c r="E2" s="36"/>
      <c r="F2" s="36"/>
      <c r="G2" s="36"/>
      <c r="H2" s="36"/>
      <c r="I2" s="36"/>
      <c r="J2" s="36"/>
      <c r="K2" s="36"/>
      <c r="L2" s="36"/>
      <c r="M2" s="36"/>
      <c r="N2" s="36"/>
      <c r="O2" s="36"/>
      <c r="P2" s="36"/>
      <c r="Q2" s="36"/>
      <c r="R2" s="36"/>
      <c r="S2" s="36"/>
      <c r="T2" s="37"/>
    </row>
    <row r="3" spans="1:20">
      <c r="A3" s="38" t="s">
        <v>48</v>
      </c>
      <c r="B3" s="39"/>
      <c r="C3" s="39"/>
      <c r="D3" s="39"/>
      <c r="E3" s="39"/>
      <c r="F3" s="39"/>
      <c r="G3" s="39"/>
      <c r="H3" s="39"/>
      <c r="I3" s="39"/>
      <c r="J3" s="39"/>
      <c r="K3" s="39"/>
      <c r="L3" s="39"/>
      <c r="M3" s="39"/>
      <c r="N3" s="39"/>
      <c r="O3" s="39"/>
      <c r="P3" s="39"/>
      <c r="Q3" s="39"/>
      <c r="R3" s="39"/>
      <c r="S3" s="39"/>
      <c r="T3" s="40"/>
    </row>
    <row r="4" spans="1:20" s="57" customFormat="1">
      <c r="A4" s="77"/>
      <c r="B4" s="77"/>
      <c r="C4" s="77"/>
      <c r="D4" s="77"/>
      <c r="E4" s="77"/>
      <c r="F4" s="77"/>
      <c r="G4" s="77"/>
      <c r="H4" s="77"/>
      <c r="I4" s="77"/>
      <c r="J4" s="77"/>
      <c r="K4" s="77"/>
      <c r="L4" s="77"/>
      <c r="M4" s="77"/>
      <c r="N4" s="77"/>
      <c r="O4" s="77"/>
      <c r="P4" s="77"/>
      <c r="Q4" s="77"/>
      <c r="R4" s="77"/>
      <c r="S4" s="77"/>
      <c r="T4" s="77"/>
    </row>
    <row r="5" spans="1:20">
      <c r="A5" s="65" t="s">
        <v>153</v>
      </c>
      <c r="B5" s="66"/>
      <c r="C5" s="66"/>
      <c r="D5" s="66"/>
      <c r="E5" s="66"/>
      <c r="F5" s="66"/>
      <c r="G5" s="67"/>
    </row>
    <row r="6" spans="1:20">
      <c r="A6" s="71" t="s">
        <v>154</v>
      </c>
      <c r="B6" s="72"/>
      <c r="C6" s="72"/>
      <c r="D6" s="72"/>
      <c r="E6" s="72"/>
      <c r="F6" s="72"/>
      <c r="G6" s="73"/>
    </row>
    <row r="8" spans="1:20">
      <c r="F8" s="34" t="s">
        <v>199</v>
      </c>
    </row>
    <row r="9" spans="1:20">
      <c r="C9" s="34" t="s">
        <v>200</v>
      </c>
      <c r="D9" s="34" t="s">
        <v>201</v>
      </c>
      <c r="E9" s="34" t="s">
        <v>202</v>
      </c>
      <c r="F9" s="34" t="s">
        <v>203</v>
      </c>
      <c r="H9" s="34" t="s">
        <v>169</v>
      </c>
    </row>
    <row r="10" spans="1:20" ht="17.25" thickBot="1">
      <c r="B10" s="34" t="s">
        <v>204</v>
      </c>
      <c r="C10" s="34">
        <v>5000000</v>
      </c>
      <c r="D10" s="34">
        <v>8000000</v>
      </c>
      <c r="E10" s="34">
        <v>25000000</v>
      </c>
      <c r="F10" s="34">
        <v>500000</v>
      </c>
      <c r="H10" s="85"/>
      <c r="I10" s="86" t="s">
        <v>205</v>
      </c>
      <c r="J10" s="34" t="s">
        <v>171</v>
      </c>
      <c r="K10" s="34" t="s">
        <v>151</v>
      </c>
      <c r="L10" s="43" t="s">
        <v>172</v>
      </c>
    </row>
    <row r="11" spans="1:20" ht="17.25" thickBot="1">
      <c r="B11" s="34" t="s">
        <v>167</v>
      </c>
      <c r="C11" s="34">
        <v>890000</v>
      </c>
      <c r="D11" s="96"/>
      <c r="E11" s="34">
        <v>3600000</v>
      </c>
      <c r="F11" s="34">
        <v>68000</v>
      </c>
      <c r="H11" s="87"/>
      <c r="I11" s="88">
        <v>10000000</v>
      </c>
      <c r="J11" s="43">
        <v>0.05</v>
      </c>
      <c r="K11" s="43">
        <v>0.4</v>
      </c>
      <c r="L11" s="43">
        <f>+J11*(1-K11)</f>
        <v>0.03</v>
      </c>
    </row>
    <row r="12" spans="1:20">
      <c r="H12" s="87"/>
      <c r="I12" s="86" t="s">
        <v>206</v>
      </c>
    </row>
    <row r="13" spans="1:20" ht="17.25" thickBot="1">
      <c r="G13" s="43"/>
      <c r="H13" s="89"/>
      <c r="I13" s="88">
        <v>30000000</v>
      </c>
      <c r="J13" s="43">
        <v>0.1</v>
      </c>
      <c r="M13" s="34" t="s">
        <v>174</v>
      </c>
    </row>
    <row r="14" spans="1:20" ht="17.25" thickBot="1">
      <c r="G14" s="43"/>
      <c r="K14" s="43"/>
      <c r="M14" s="97">
        <f>+(I11*L11+I13*J13)/(I11+I13)</f>
        <v>8.2500000000000004E-2</v>
      </c>
    </row>
    <row r="15" spans="1:20" ht="17.25" thickBot="1"/>
    <row r="16" spans="1:20" ht="17.25" thickBot="1">
      <c r="A16" s="34" t="s">
        <v>207</v>
      </c>
      <c r="B16" s="34" t="s">
        <v>208</v>
      </c>
      <c r="C16" s="83">
        <f>+C11*(1-$K$11)-C10*$M$14</f>
        <v>121500</v>
      </c>
      <c r="D16" s="98"/>
      <c r="E16" s="84">
        <f>+E11*(1-$K$11)-E10*$M$14</f>
        <v>97500</v>
      </c>
    </row>
    <row r="17" spans="1:8" ht="17.25" thickBot="1"/>
    <row r="18" spans="1:8" ht="17.25" thickBot="1">
      <c r="A18" s="34" t="s">
        <v>209</v>
      </c>
      <c r="B18" s="34" t="s">
        <v>210</v>
      </c>
      <c r="D18" s="34">
        <f>+D10*M14</f>
        <v>660000</v>
      </c>
      <c r="E18" s="34" t="s">
        <v>211</v>
      </c>
      <c r="G18" s="99" t="s">
        <v>212</v>
      </c>
      <c r="H18" s="76">
        <f>+D18/0.6</f>
        <v>1100000</v>
      </c>
    </row>
    <row r="20" spans="1:8" ht="17.25" thickBot="1">
      <c r="A20" s="34" t="s">
        <v>213</v>
      </c>
      <c r="B20" s="34" t="s">
        <v>208</v>
      </c>
      <c r="C20" s="34">
        <f>+C16</f>
        <v>121500</v>
      </c>
      <c r="D20" s="41">
        <f>+G20-SUM(C20,E20)</f>
        <v>81000</v>
      </c>
      <c r="E20" s="34">
        <f>+E16</f>
        <v>97500</v>
      </c>
      <c r="G20" s="34">
        <v>300000</v>
      </c>
    </row>
    <row r="21" spans="1:8" ht="17.25" thickBot="1">
      <c r="B21" s="34" t="s">
        <v>167</v>
      </c>
      <c r="D21" s="93">
        <f>(D20+D10*M14)/0.6</f>
        <v>1235000</v>
      </c>
    </row>
    <row r="22" spans="1:8" ht="17.25" thickBot="1"/>
    <row r="23" spans="1:8" ht="17.25" thickBot="1">
      <c r="A23" s="34" t="s">
        <v>199</v>
      </c>
      <c r="B23" s="34" t="s">
        <v>208</v>
      </c>
      <c r="F23" s="76">
        <f>+F11*0.6-F10*M14</f>
        <v>-450</v>
      </c>
      <c r="G23" s="34" t="s">
        <v>214</v>
      </c>
    </row>
  </sheetData>
  <phoneticPr fontId="4"/>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zoomScale="85" zoomScaleNormal="85" workbookViewId="0">
      <selection activeCell="K19" sqref="K19"/>
    </sheetView>
  </sheetViews>
  <sheetFormatPr defaultRowHeight="16.5"/>
  <cols>
    <col min="1" max="1" width="10.28515625" style="4" customWidth="1"/>
    <col min="2" max="10" width="9.140625" style="4"/>
    <col min="11" max="11" width="17.42578125" style="4" customWidth="1"/>
    <col min="12" max="12" width="10.7109375" style="4" customWidth="1"/>
    <col min="13" max="13" width="10.28515625" style="4" customWidth="1"/>
    <col min="14" max="15" width="9.140625" style="4"/>
    <col min="16" max="16" width="12.5703125" style="4" customWidth="1"/>
    <col min="17" max="17" width="9.140625" style="4"/>
    <col min="18" max="18" width="11.28515625" style="4" customWidth="1"/>
    <col min="19" max="16384" width="9.140625" style="4"/>
  </cols>
  <sheetData>
    <row r="1" spans="1:18">
      <c r="A1" s="1" t="s">
        <v>0</v>
      </c>
      <c r="B1" s="2"/>
      <c r="C1" s="2"/>
      <c r="D1" s="2"/>
      <c r="E1" s="2"/>
      <c r="F1" s="2"/>
      <c r="G1" s="2"/>
      <c r="H1" s="2"/>
      <c r="I1" s="2"/>
      <c r="J1" s="2"/>
      <c r="K1" s="2"/>
      <c r="L1" s="2"/>
      <c r="M1" s="2"/>
      <c r="N1" s="2"/>
      <c r="O1" s="2"/>
      <c r="P1" s="2"/>
      <c r="Q1" s="2"/>
      <c r="R1" s="3"/>
    </row>
    <row r="2" spans="1:18">
      <c r="A2" s="5" t="s">
        <v>1</v>
      </c>
      <c r="B2" s="6"/>
      <c r="C2" s="6"/>
      <c r="D2" s="6"/>
      <c r="E2" s="6"/>
      <c r="F2" s="6"/>
      <c r="G2" s="6"/>
      <c r="H2" s="6"/>
      <c r="I2" s="6"/>
      <c r="J2" s="6"/>
      <c r="K2" s="6"/>
      <c r="L2" s="6"/>
      <c r="M2" s="6"/>
      <c r="N2" s="6"/>
      <c r="O2" s="6"/>
      <c r="P2" s="6"/>
      <c r="Q2" s="6"/>
      <c r="R2" s="7"/>
    </row>
    <row r="3" spans="1:18">
      <c r="A3" s="8" t="s">
        <v>48</v>
      </c>
      <c r="B3" s="9"/>
      <c r="C3" s="9"/>
      <c r="D3" s="9"/>
      <c r="E3" s="9"/>
      <c r="F3" s="9"/>
      <c r="G3" s="9"/>
      <c r="H3" s="9"/>
      <c r="I3" s="9"/>
      <c r="J3" s="9"/>
      <c r="K3" s="9"/>
      <c r="L3" s="9"/>
      <c r="M3" s="9"/>
      <c r="N3" s="9"/>
      <c r="O3" s="9"/>
      <c r="P3" s="9"/>
      <c r="Q3" s="9"/>
      <c r="R3" s="10"/>
    </row>
    <row r="4" spans="1:18">
      <c r="J4" s="4" t="s">
        <v>5</v>
      </c>
      <c r="K4" s="4" t="s">
        <v>6</v>
      </c>
    </row>
    <row r="5" spans="1:18">
      <c r="C5" s="102" t="s">
        <v>7</v>
      </c>
      <c r="D5" s="100"/>
      <c r="E5" s="100"/>
      <c r="F5" s="100"/>
      <c r="J5" s="4" t="s">
        <v>8</v>
      </c>
      <c r="O5" s="4" t="s">
        <v>9</v>
      </c>
    </row>
    <row r="6" spans="1:18">
      <c r="C6" s="11" t="s">
        <v>10</v>
      </c>
      <c r="D6" s="12"/>
      <c r="E6" s="11" t="s">
        <v>11</v>
      </c>
      <c r="F6" s="12"/>
    </row>
    <row r="7" spans="1:18">
      <c r="C7" s="13"/>
      <c r="D7" s="14"/>
      <c r="E7" s="13"/>
      <c r="F7" s="14"/>
      <c r="G7" s="4" t="s">
        <v>49</v>
      </c>
      <c r="H7" s="15">
        <v>840000</v>
      </c>
      <c r="J7" s="4" t="s">
        <v>13</v>
      </c>
      <c r="M7" s="4">
        <f>+E19*1500</f>
        <v>1950000</v>
      </c>
      <c r="O7" s="4" t="s">
        <v>13</v>
      </c>
      <c r="R7" s="4">
        <f>+M7</f>
        <v>1950000</v>
      </c>
    </row>
    <row r="8" spans="1:18">
      <c r="C8" s="13"/>
      <c r="D8" s="14"/>
      <c r="E8" s="13"/>
      <c r="F8" s="14"/>
      <c r="G8" s="4" t="s">
        <v>50</v>
      </c>
      <c r="H8" s="16">
        <v>600000</v>
      </c>
    </row>
    <row r="9" spans="1:18">
      <c r="A9" s="17"/>
      <c r="B9" s="18"/>
      <c r="C9" s="19"/>
      <c r="D9" s="20"/>
      <c r="E9" s="13"/>
      <c r="F9" s="14"/>
      <c r="G9" s="21"/>
      <c r="H9" s="22"/>
      <c r="J9" s="4" t="s">
        <v>15</v>
      </c>
      <c r="O9" s="4" t="s">
        <v>15</v>
      </c>
    </row>
    <row r="10" spans="1:18">
      <c r="C10" s="11" t="s">
        <v>18</v>
      </c>
      <c r="D10" s="12"/>
      <c r="E10" s="13"/>
      <c r="F10" s="14"/>
      <c r="K10" s="4" t="s">
        <v>17</v>
      </c>
      <c r="L10" s="4">
        <f>+SUM(B19:B21)</f>
        <v>480000</v>
      </c>
      <c r="P10" s="4" t="s">
        <v>51</v>
      </c>
      <c r="Q10" s="4">
        <f>+B19+B23-H25</f>
        <v>910000</v>
      </c>
    </row>
    <row r="11" spans="1:18">
      <c r="C11" s="13"/>
      <c r="D11" s="14"/>
      <c r="E11" s="23"/>
      <c r="F11" s="20"/>
      <c r="K11" s="4" t="s">
        <v>19</v>
      </c>
      <c r="L11" s="4">
        <f>+SUM(B23:B24)</f>
        <v>1440000</v>
      </c>
      <c r="P11" s="19" t="s">
        <v>25</v>
      </c>
      <c r="Q11" s="19">
        <f>+B30</f>
        <v>260000</v>
      </c>
      <c r="R11" s="19">
        <f>+SUM(Q10:Q11)</f>
        <v>1170000</v>
      </c>
    </row>
    <row r="12" spans="1:18">
      <c r="C12" s="13"/>
      <c r="D12" s="14"/>
      <c r="E12" s="11" t="s">
        <v>21</v>
      </c>
      <c r="F12" s="12"/>
      <c r="K12" s="19" t="s">
        <v>20</v>
      </c>
      <c r="L12" s="19">
        <f>+SUM(H24:H26)</f>
        <v>360000</v>
      </c>
      <c r="M12" s="19">
        <f>+L10+L11-L12</f>
        <v>1560000</v>
      </c>
      <c r="P12" s="4" t="s">
        <v>52</v>
      </c>
      <c r="R12" s="4">
        <f>+R7-R11</f>
        <v>780000</v>
      </c>
    </row>
    <row r="13" spans="1:18">
      <c r="C13" s="13"/>
      <c r="D13" s="14"/>
      <c r="E13" s="13"/>
      <c r="F13" s="14"/>
      <c r="K13" s="4" t="s">
        <v>22</v>
      </c>
      <c r="M13" s="4">
        <f>+M7-M12</f>
        <v>390000</v>
      </c>
    </row>
    <row r="14" spans="1:18">
      <c r="A14" s="21"/>
      <c r="B14" s="21"/>
      <c r="C14" s="13"/>
      <c r="D14" s="14"/>
      <c r="E14" s="13"/>
      <c r="F14" s="14"/>
      <c r="G14" s="17"/>
      <c r="H14" s="18"/>
      <c r="J14" s="4" t="s">
        <v>23</v>
      </c>
      <c r="O14" s="4" t="s">
        <v>23</v>
      </c>
    </row>
    <row r="15" spans="1:18">
      <c r="C15" s="23"/>
      <c r="D15" s="20"/>
      <c r="E15" s="23"/>
      <c r="F15" s="20"/>
      <c r="K15" s="4" t="s">
        <v>25</v>
      </c>
      <c r="L15" s="4">
        <f>200*E19</f>
        <v>260000</v>
      </c>
      <c r="P15" s="4" t="s">
        <v>24</v>
      </c>
      <c r="Q15" s="4">
        <f>+B24</f>
        <v>600000</v>
      </c>
    </row>
    <row r="16" spans="1:18">
      <c r="K16" s="19" t="s">
        <v>26</v>
      </c>
      <c r="L16" s="19">
        <v>140000</v>
      </c>
      <c r="M16" s="4">
        <f>+L15+L16</f>
        <v>400000</v>
      </c>
      <c r="P16" s="19" t="s">
        <v>26</v>
      </c>
      <c r="Q16" s="19">
        <f>+L16</f>
        <v>140000</v>
      </c>
      <c r="R16" s="4">
        <f>+SUM(Q15:Q16)</f>
        <v>740000</v>
      </c>
    </row>
    <row r="17" spans="1:18" ht="17.25" thickBot="1">
      <c r="C17" s="101" t="s">
        <v>27</v>
      </c>
      <c r="D17" s="101"/>
      <c r="E17" s="101"/>
      <c r="F17" s="101"/>
      <c r="K17" s="4" t="s">
        <v>28</v>
      </c>
      <c r="M17" s="24">
        <f>+M13-M16</f>
        <v>-10000</v>
      </c>
      <c r="P17" s="4" t="s">
        <v>28</v>
      </c>
      <c r="R17" s="24">
        <f>+R12-R16</f>
        <v>40000</v>
      </c>
    </row>
    <row r="18" spans="1:18" ht="17.25" thickTop="1">
      <c r="C18" s="11" t="s">
        <v>29</v>
      </c>
      <c r="D18" s="12"/>
      <c r="E18" s="11" t="s">
        <v>30</v>
      </c>
      <c r="F18" s="12"/>
    </row>
    <row r="19" spans="1:18">
      <c r="A19" s="4" t="s">
        <v>12</v>
      </c>
      <c r="B19" s="4">
        <f>700*C19</f>
        <v>280000</v>
      </c>
      <c r="C19" s="13">
        <v>400</v>
      </c>
      <c r="D19" s="14"/>
      <c r="E19" s="13">
        <v>1300</v>
      </c>
      <c r="F19" s="14"/>
      <c r="G19" s="4" t="s">
        <v>12</v>
      </c>
      <c r="H19" s="4">
        <f>+B19+B23-H25</f>
        <v>910000</v>
      </c>
    </row>
    <row r="20" spans="1:18">
      <c r="A20" s="26" t="s">
        <v>16</v>
      </c>
      <c r="B20" s="26">
        <f>+B24*C19/C23</f>
        <v>200000</v>
      </c>
      <c r="C20" s="13"/>
      <c r="D20" s="14"/>
      <c r="E20" s="13"/>
      <c r="F20" s="14"/>
      <c r="G20" s="4" t="s">
        <v>16</v>
      </c>
      <c r="H20" s="4">
        <f>+B20+B24-H26</f>
        <v>650000</v>
      </c>
    </row>
    <row r="21" spans="1:18">
      <c r="A21" s="17"/>
      <c r="C21" s="23"/>
      <c r="D21" s="20"/>
      <c r="E21" s="13"/>
      <c r="F21" s="14"/>
      <c r="G21" s="26"/>
      <c r="H21" s="26"/>
      <c r="M21" s="25"/>
    </row>
    <row r="22" spans="1:18">
      <c r="C22" s="11" t="s">
        <v>11</v>
      </c>
      <c r="D22" s="12"/>
      <c r="E22" s="13"/>
      <c r="F22" s="14"/>
    </row>
    <row r="23" spans="1:18">
      <c r="A23" s="4" t="s">
        <v>12</v>
      </c>
      <c r="B23" s="4">
        <f>+H7</f>
        <v>840000</v>
      </c>
      <c r="C23" s="13">
        <v>1200</v>
      </c>
      <c r="D23" s="14"/>
      <c r="E23" s="23"/>
      <c r="F23" s="20"/>
    </row>
    <row r="24" spans="1:18">
      <c r="A24" s="4" t="s">
        <v>16</v>
      </c>
      <c r="B24" s="15">
        <f>+H8</f>
        <v>600000</v>
      </c>
      <c r="C24" s="13"/>
      <c r="D24" s="14"/>
      <c r="E24" s="11" t="s">
        <v>32</v>
      </c>
      <c r="F24" s="12"/>
    </row>
    <row r="25" spans="1:18">
      <c r="B25" s="16"/>
      <c r="C25" s="13"/>
      <c r="D25" s="14"/>
      <c r="E25" s="13">
        <f>+C19+C23-E19</f>
        <v>300</v>
      </c>
      <c r="F25" s="14"/>
      <c r="G25" s="30" t="s">
        <v>12</v>
      </c>
      <c r="H25" s="4">
        <f>+B23*E25/C23</f>
        <v>210000</v>
      </c>
    </row>
    <row r="26" spans="1:18">
      <c r="A26" s="21"/>
      <c r="B26" s="22"/>
      <c r="C26" s="13"/>
      <c r="D26" s="14"/>
      <c r="E26" s="13"/>
      <c r="F26" s="14"/>
      <c r="G26" s="17" t="s">
        <v>16</v>
      </c>
      <c r="H26" s="18">
        <f>+B24*E25/C23</f>
        <v>150000</v>
      </c>
    </row>
    <row r="27" spans="1:18">
      <c r="C27" s="23"/>
      <c r="D27" s="20"/>
      <c r="E27" s="23"/>
      <c r="F27" s="20"/>
    </row>
    <row r="29" spans="1:18">
      <c r="G29" s="27"/>
      <c r="H29" s="31">
        <f>+H26-B20</f>
        <v>-50000</v>
      </c>
    </row>
    <row r="30" spans="1:18">
      <c r="A30" s="4" t="s">
        <v>33</v>
      </c>
      <c r="B30" s="28">
        <v>260000</v>
      </c>
    </row>
    <row r="31" spans="1:18" ht="16.5" customHeight="1">
      <c r="A31" s="4" t="s">
        <v>36</v>
      </c>
      <c r="B31" s="4">
        <v>140000</v>
      </c>
      <c r="E31" s="25"/>
    </row>
    <row r="32" spans="1:18">
      <c r="E32" s="29"/>
    </row>
    <row r="33" spans="1:5">
      <c r="A33" s="4" t="s">
        <v>39</v>
      </c>
      <c r="E33" s="29"/>
    </row>
    <row r="34" spans="1:5">
      <c r="A34" s="4" t="s">
        <v>41</v>
      </c>
      <c r="E34" s="29"/>
    </row>
    <row r="35" spans="1:5">
      <c r="A35" s="4" t="s">
        <v>43</v>
      </c>
      <c r="E35" s="29"/>
    </row>
    <row r="36" spans="1:5">
      <c r="A36" s="4" t="s">
        <v>44</v>
      </c>
      <c r="E36" s="29"/>
    </row>
    <row r="37" spans="1:5">
      <c r="A37" s="4" t="s">
        <v>46</v>
      </c>
      <c r="E37" s="29"/>
    </row>
  </sheetData>
  <mergeCells count="2">
    <mergeCell ref="C5:F5"/>
    <mergeCell ref="C17:F17"/>
  </mergeCells>
  <phoneticPr fontId="4"/>
  <pageMargins left="0.25" right="0.25"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09E0A-D473-420E-82A7-BB951692B29A}">
  <sheetPr>
    <pageSetUpPr fitToPage="1"/>
  </sheetPr>
  <dimension ref="A1:R27"/>
  <sheetViews>
    <sheetView workbookViewId="0">
      <selection activeCell="D16" sqref="D16"/>
    </sheetView>
  </sheetViews>
  <sheetFormatPr defaultColWidth="10.42578125" defaultRowHeight="16.5"/>
  <cols>
    <col min="1" max="2" width="10.42578125" style="34"/>
    <col min="3" max="4" width="11.5703125" style="34" customWidth="1"/>
    <col min="5" max="5" width="10.42578125" style="34"/>
    <col min="6" max="6" width="11.5703125" style="34" customWidth="1"/>
    <col min="7" max="16384" width="10.42578125" style="34"/>
  </cols>
  <sheetData>
    <row r="1" spans="1:18">
      <c r="A1" s="1" t="s">
        <v>0</v>
      </c>
      <c r="B1" s="32"/>
      <c r="C1" s="32"/>
      <c r="D1" s="32"/>
      <c r="E1" s="32"/>
      <c r="F1" s="32"/>
      <c r="G1" s="32"/>
      <c r="H1" s="32"/>
      <c r="I1" s="32"/>
      <c r="J1" s="32"/>
      <c r="K1" s="32"/>
      <c r="L1" s="32"/>
      <c r="M1" s="32"/>
      <c r="N1" s="32"/>
      <c r="O1" s="32"/>
      <c r="P1" s="32"/>
      <c r="Q1" s="32"/>
      <c r="R1" s="33"/>
    </row>
    <row r="2" spans="1:18">
      <c r="A2" s="35" t="s">
        <v>53</v>
      </c>
      <c r="B2" s="36"/>
      <c r="C2" s="36"/>
      <c r="D2" s="36"/>
      <c r="E2" s="36"/>
      <c r="F2" s="36"/>
      <c r="G2" s="36"/>
      <c r="H2" s="36"/>
      <c r="I2" s="36"/>
      <c r="J2" s="36"/>
      <c r="K2" s="36"/>
      <c r="L2" s="36"/>
      <c r="M2" s="36"/>
      <c r="N2" s="36"/>
      <c r="O2" s="36"/>
      <c r="P2" s="36"/>
      <c r="Q2" s="36"/>
      <c r="R2" s="37"/>
    </row>
    <row r="3" spans="1:18">
      <c r="A3" s="38" t="s">
        <v>54</v>
      </c>
      <c r="B3" s="39"/>
      <c r="C3" s="39"/>
      <c r="D3" s="39"/>
      <c r="E3" s="39"/>
      <c r="F3" s="39"/>
      <c r="G3" s="39"/>
      <c r="H3" s="39"/>
      <c r="I3" s="39"/>
      <c r="J3" s="39"/>
      <c r="K3" s="39"/>
      <c r="L3" s="39"/>
      <c r="M3" s="39"/>
      <c r="N3" s="39"/>
      <c r="O3" s="39"/>
      <c r="P3" s="39"/>
      <c r="Q3" s="39"/>
      <c r="R3" s="40"/>
    </row>
    <row r="5" spans="1:18">
      <c r="A5" s="34" t="s">
        <v>55</v>
      </c>
    </row>
    <row r="6" spans="1:18">
      <c r="B6" s="34" t="s">
        <v>56</v>
      </c>
      <c r="C6" s="34" t="s">
        <v>57</v>
      </c>
      <c r="D6" s="34" t="s">
        <v>58</v>
      </c>
    </row>
    <row r="7" spans="1:18">
      <c r="B7" s="34">
        <v>1</v>
      </c>
      <c r="C7" s="34">
        <v>200</v>
      </c>
      <c r="D7" s="34">
        <v>350</v>
      </c>
    </row>
    <row r="8" spans="1:18">
      <c r="B8" s="34">
        <v>2</v>
      </c>
      <c r="C8" s="34">
        <v>300</v>
      </c>
      <c r="D8" s="34">
        <v>450</v>
      </c>
    </row>
    <row r="9" spans="1:18">
      <c r="B9" s="34">
        <v>3</v>
      </c>
      <c r="C9" s="41">
        <v>100</v>
      </c>
      <c r="D9" s="41">
        <v>300</v>
      </c>
      <c r="I9" s="34">
        <v>16000</v>
      </c>
    </row>
    <row r="10" spans="1:18">
      <c r="B10" s="34">
        <v>4</v>
      </c>
      <c r="C10" s="42">
        <v>400</v>
      </c>
      <c r="D10" s="42">
        <v>500</v>
      </c>
      <c r="I10" s="34">
        <v>30500</v>
      </c>
    </row>
    <row r="11" spans="1:18">
      <c r="I11" s="43">
        <f>+I9/I10</f>
        <v>0.52459016393442626</v>
      </c>
    </row>
    <row r="18" spans="1:8" ht="17.25" thickBot="1">
      <c r="H18" s="34">
        <f>+E18</f>
        <v>0</v>
      </c>
    </row>
    <row r="19" spans="1:8" ht="17.25" thickBot="1">
      <c r="G19" s="34" t="s">
        <v>59</v>
      </c>
      <c r="H19" s="44" t="e">
        <f>+E19/E8</f>
        <v>#DIV/0!</v>
      </c>
    </row>
    <row r="21" spans="1:8">
      <c r="C21" s="29" t="s">
        <v>60</v>
      </c>
    </row>
    <row r="22" spans="1:8">
      <c r="C22" s="29" t="s">
        <v>61</v>
      </c>
    </row>
    <row r="24" spans="1:8">
      <c r="C24" s="34" t="s">
        <v>62</v>
      </c>
    </row>
    <row r="25" spans="1:8">
      <c r="C25" s="29" t="s">
        <v>63</v>
      </c>
    </row>
    <row r="27" spans="1:8">
      <c r="A27" s="34" t="s">
        <v>64</v>
      </c>
    </row>
  </sheetData>
  <phoneticPr fontId="4"/>
  <pageMargins left="0.25" right="0.25" top="0.75" bottom="0.75" header="0.3" footer="0.3"/>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30C59-4826-4ADD-9E26-D7D1E736160F}">
  <sheetPr>
    <pageSetUpPr fitToPage="1"/>
  </sheetPr>
  <dimension ref="A1:R33"/>
  <sheetViews>
    <sheetView workbookViewId="0">
      <selection activeCell="B14" sqref="B14"/>
    </sheetView>
  </sheetViews>
  <sheetFormatPr defaultColWidth="10.42578125" defaultRowHeight="16.5"/>
  <cols>
    <col min="1" max="1" width="10.42578125" style="34"/>
    <col min="2" max="2" width="14.85546875" style="34" customWidth="1"/>
    <col min="3" max="4" width="11.5703125" style="34" customWidth="1"/>
    <col min="5" max="5" width="10.42578125" style="34"/>
    <col min="6" max="6" width="11.5703125" style="34" customWidth="1"/>
    <col min="7" max="7" width="12.7109375" style="34" customWidth="1"/>
    <col min="8" max="8" width="10.42578125" style="34"/>
    <col min="9" max="9" width="11.140625" style="34" customWidth="1"/>
    <col min="10" max="16384" width="10.42578125" style="34"/>
  </cols>
  <sheetData>
    <row r="1" spans="1:18">
      <c r="A1" s="1" t="s">
        <v>0</v>
      </c>
      <c r="B1" s="32"/>
      <c r="C1" s="32"/>
      <c r="D1" s="32"/>
      <c r="E1" s="32"/>
      <c r="F1" s="32"/>
      <c r="G1" s="32"/>
      <c r="H1" s="32"/>
      <c r="I1" s="32"/>
      <c r="J1" s="32"/>
      <c r="K1" s="32"/>
      <c r="L1" s="32"/>
      <c r="M1" s="32"/>
      <c r="N1" s="32"/>
      <c r="O1" s="32"/>
      <c r="P1" s="32"/>
      <c r="Q1" s="32"/>
      <c r="R1" s="33"/>
    </row>
    <row r="2" spans="1:18">
      <c r="A2" s="35" t="s">
        <v>53</v>
      </c>
      <c r="B2" s="36"/>
      <c r="C2" s="36"/>
      <c r="D2" s="36"/>
      <c r="E2" s="36"/>
      <c r="F2" s="36"/>
      <c r="G2" s="36"/>
      <c r="H2" s="36"/>
      <c r="I2" s="36"/>
      <c r="J2" s="36"/>
      <c r="K2" s="36"/>
      <c r="L2" s="36"/>
      <c r="M2" s="36"/>
      <c r="N2" s="36"/>
      <c r="O2" s="36"/>
      <c r="P2" s="36"/>
      <c r="Q2" s="36"/>
      <c r="R2" s="37"/>
    </row>
    <row r="3" spans="1:18">
      <c r="A3" s="38" t="s">
        <v>65</v>
      </c>
      <c r="B3" s="39"/>
      <c r="C3" s="39"/>
      <c r="D3" s="39"/>
      <c r="E3" s="39"/>
      <c r="F3" s="39"/>
      <c r="G3" s="39"/>
      <c r="H3" s="39"/>
      <c r="I3" s="39"/>
      <c r="J3" s="39"/>
      <c r="K3" s="39"/>
      <c r="L3" s="39"/>
      <c r="M3" s="39"/>
      <c r="N3" s="39"/>
      <c r="O3" s="39"/>
      <c r="P3" s="39"/>
      <c r="Q3" s="39"/>
      <c r="R3" s="40"/>
    </row>
    <row r="4" spans="1:18">
      <c r="A4" s="34" t="s">
        <v>66</v>
      </c>
    </row>
    <row r="5" spans="1:18">
      <c r="A5" s="34" t="s">
        <v>67</v>
      </c>
      <c r="F5" s="34" t="s">
        <v>68</v>
      </c>
    </row>
    <row r="6" spans="1:18">
      <c r="A6" s="34" t="s">
        <v>13</v>
      </c>
      <c r="D6" s="34">
        <v>1500000</v>
      </c>
      <c r="F6" s="34" t="s">
        <v>13</v>
      </c>
      <c r="I6" s="34">
        <v>1500000</v>
      </c>
    </row>
    <row r="7" spans="1:18">
      <c r="A7" s="34" t="s">
        <v>15</v>
      </c>
      <c r="F7" s="34" t="s">
        <v>69</v>
      </c>
    </row>
    <row r="8" spans="1:18">
      <c r="B8" s="34" t="s">
        <v>70</v>
      </c>
      <c r="C8" s="34">
        <v>250000</v>
      </c>
      <c r="G8" s="34" t="s">
        <v>70</v>
      </c>
      <c r="H8" s="34">
        <v>250000</v>
      </c>
    </row>
    <row r="9" spans="1:18">
      <c r="B9" s="45" t="s">
        <v>71</v>
      </c>
      <c r="C9" s="45">
        <v>150000</v>
      </c>
      <c r="D9" s="45"/>
      <c r="G9" s="45" t="s">
        <v>71</v>
      </c>
      <c r="H9" s="45">
        <v>150000</v>
      </c>
      <c r="I9" s="45"/>
    </row>
    <row r="10" spans="1:18">
      <c r="B10" s="45" t="s">
        <v>72</v>
      </c>
      <c r="C10" s="45">
        <v>75000</v>
      </c>
      <c r="D10" s="45"/>
      <c r="G10" s="45" t="s">
        <v>72</v>
      </c>
      <c r="H10" s="45">
        <v>75000</v>
      </c>
      <c r="I10" s="45"/>
    </row>
    <row r="11" spans="1:18" ht="17.25" thickBot="1">
      <c r="B11" s="46" t="s">
        <v>73</v>
      </c>
      <c r="C11" s="46">
        <v>100000</v>
      </c>
      <c r="D11" s="46">
        <f>+SUM(C8:C11)</f>
        <v>575000</v>
      </c>
      <c r="G11" s="46" t="s">
        <v>25</v>
      </c>
      <c r="H11" s="46">
        <f>+C14</f>
        <v>200000</v>
      </c>
      <c r="I11" s="47">
        <f>+SUM(H8:H11)</f>
        <v>675000</v>
      </c>
    </row>
    <row r="12" spans="1:18" ht="17.25" thickBot="1">
      <c r="B12" s="34" t="s">
        <v>22</v>
      </c>
      <c r="D12" s="34">
        <f>+D6-D11</f>
        <v>925000</v>
      </c>
      <c r="G12" s="34" t="s">
        <v>52</v>
      </c>
      <c r="I12" s="34">
        <f>+I6-I11</f>
        <v>825000</v>
      </c>
      <c r="K12" s="48" t="s">
        <v>74</v>
      </c>
      <c r="L12" s="49">
        <f>+I12/I6</f>
        <v>0.55000000000000004</v>
      </c>
    </row>
    <row r="13" spans="1:18">
      <c r="A13" s="34" t="s">
        <v>75</v>
      </c>
      <c r="F13" s="34" t="s">
        <v>76</v>
      </c>
      <c r="L13" s="26"/>
    </row>
    <row r="14" spans="1:18" ht="17.25" thickBot="1">
      <c r="B14" s="34" t="s">
        <v>77</v>
      </c>
      <c r="C14" s="34">
        <v>200000</v>
      </c>
      <c r="G14" s="34" t="s">
        <v>73</v>
      </c>
      <c r="H14" s="34">
        <f>+C11</f>
        <v>100000</v>
      </c>
      <c r="L14" s="26"/>
    </row>
    <row r="15" spans="1:18" ht="17.25" thickBot="1">
      <c r="B15" s="46" t="s">
        <v>78</v>
      </c>
      <c r="C15" s="46">
        <v>250000</v>
      </c>
      <c r="D15" s="45">
        <f>+SUM(C14:C15)</f>
        <v>450000</v>
      </c>
      <c r="G15" s="46" t="s">
        <v>78</v>
      </c>
      <c r="H15" s="46">
        <v>250000</v>
      </c>
      <c r="I15" s="46">
        <f>+SUM(H14:H15)</f>
        <v>350000</v>
      </c>
      <c r="K15" s="48" t="s">
        <v>79</v>
      </c>
      <c r="L15" s="50">
        <f>+I15</f>
        <v>350000</v>
      </c>
    </row>
    <row r="16" spans="1:18" ht="17.25" thickBot="1">
      <c r="B16" s="34" t="s">
        <v>28</v>
      </c>
      <c r="D16" s="51">
        <f>+D12-D15</f>
        <v>475000</v>
      </c>
      <c r="G16" s="34" t="s">
        <v>28</v>
      </c>
      <c r="I16" s="52">
        <f>+I12-I15</f>
        <v>475000</v>
      </c>
    </row>
    <row r="21" spans="1:8">
      <c r="A21" s="34" t="s">
        <v>80</v>
      </c>
      <c r="D21" s="34">
        <v>2500000</v>
      </c>
    </row>
    <row r="22" spans="1:8" ht="17.25" thickBot="1">
      <c r="B22" s="34" t="s">
        <v>81</v>
      </c>
      <c r="G22" s="34" t="s">
        <v>82</v>
      </c>
    </row>
    <row r="23" spans="1:8" ht="17.25" thickBot="1">
      <c r="C23" s="26">
        <f>+L15</f>
        <v>350000</v>
      </c>
      <c r="D23" s="34" t="s">
        <v>83</v>
      </c>
      <c r="E23" s="53">
        <f>+L12</f>
        <v>0.55000000000000004</v>
      </c>
      <c r="F23" s="34" t="s">
        <v>84</v>
      </c>
      <c r="G23" s="50">
        <f>+C23/E23</f>
        <v>636363.63636363635</v>
      </c>
      <c r="H23" s="29" t="s">
        <v>85</v>
      </c>
    </row>
    <row r="25" spans="1:8" ht="17.25" thickBot="1">
      <c r="A25" s="34" t="s">
        <v>86</v>
      </c>
    </row>
    <row r="26" spans="1:8" ht="17.25" thickBot="1">
      <c r="B26" s="34" t="s">
        <v>87</v>
      </c>
      <c r="G26" s="54">
        <f>+(I6-G23)/I6</f>
        <v>0.5757575757575758</v>
      </c>
      <c r="H26" s="29" t="s">
        <v>88</v>
      </c>
    </row>
    <row r="28" spans="1:8" ht="17.25" thickBot="1">
      <c r="A28" s="34" t="s">
        <v>89</v>
      </c>
    </row>
    <row r="29" spans="1:8" ht="17.25" thickBot="1">
      <c r="G29" s="55">
        <f>+I12/I16</f>
        <v>1.736842105263158</v>
      </c>
    </row>
    <row r="31" spans="1:8" ht="17.25" thickBot="1">
      <c r="A31" s="34" t="s">
        <v>90</v>
      </c>
    </row>
    <row r="32" spans="1:8" ht="17.25" thickBot="1">
      <c r="G32" s="50">
        <f>+(L15+750000)/L12</f>
        <v>1999999.9999999998</v>
      </c>
    </row>
    <row r="33" spans="6:6">
      <c r="F33" s="56"/>
    </row>
  </sheetData>
  <phoneticPr fontId="4"/>
  <pageMargins left="0.25" right="0.25"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FA36-7072-41F9-B14B-46791E4061BE}">
  <sheetPr>
    <pageSetUpPr fitToPage="1"/>
  </sheetPr>
  <dimension ref="A1:S49"/>
  <sheetViews>
    <sheetView workbookViewId="0">
      <selection activeCell="B14" sqref="B14"/>
    </sheetView>
  </sheetViews>
  <sheetFormatPr defaultColWidth="10.42578125" defaultRowHeight="16.5"/>
  <cols>
    <col min="1" max="1" width="10.42578125" style="34"/>
    <col min="2" max="2" width="14.85546875" style="34" customWidth="1"/>
    <col min="3" max="4" width="11.5703125" style="34" customWidth="1"/>
    <col min="5" max="5" width="13" style="34" customWidth="1"/>
    <col min="6" max="6" width="11.5703125" style="34" customWidth="1"/>
    <col min="7" max="8" width="12.7109375" style="34" customWidth="1"/>
    <col min="9" max="9" width="10.42578125" style="34"/>
    <col min="10" max="10" width="11.5703125" style="34" customWidth="1"/>
    <col min="11" max="16384" width="10.42578125" style="34"/>
  </cols>
  <sheetData>
    <row r="1" spans="1:19">
      <c r="A1" s="1" t="s">
        <v>0</v>
      </c>
      <c r="B1" s="32"/>
      <c r="C1" s="32"/>
      <c r="D1" s="32"/>
      <c r="E1" s="32"/>
      <c r="F1" s="32"/>
      <c r="G1" s="32"/>
      <c r="H1" s="32"/>
      <c r="I1" s="32"/>
      <c r="J1" s="32"/>
      <c r="K1" s="32"/>
      <c r="L1" s="32"/>
      <c r="M1" s="32"/>
      <c r="N1" s="32"/>
      <c r="O1" s="32"/>
      <c r="P1" s="32"/>
      <c r="Q1" s="32"/>
      <c r="R1" s="32"/>
      <c r="S1" s="33"/>
    </row>
    <row r="2" spans="1:19">
      <c r="A2" s="35" t="s">
        <v>53</v>
      </c>
      <c r="B2" s="36"/>
      <c r="C2" s="36"/>
      <c r="D2" s="36"/>
      <c r="E2" s="36"/>
      <c r="F2" s="36"/>
      <c r="G2" s="36"/>
      <c r="H2" s="36"/>
      <c r="I2" s="36"/>
      <c r="J2" s="36"/>
      <c r="K2" s="36"/>
      <c r="L2" s="36"/>
      <c r="M2" s="36"/>
      <c r="N2" s="36"/>
      <c r="O2" s="36"/>
      <c r="P2" s="36"/>
      <c r="Q2" s="36"/>
      <c r="R2" s="36"/>
      <c r="S2" s="37"/>
    </row>
    <row r="3" spans="1:19">
      <c r="A3" s="38" t="s">
        <v>48</v>
      </c>
      <c r="B3" s="39"/>
      <c r="C3" s="39"/>
      <c r="D3" s="39"/>
      <c r="E3" s="39"/>
      <c r="F3" s="39"/>
      <c r="G3" s="39"/>
      <c r="H3" s="39"/>
      <c r="I3" s="39"/>
      <c r="J3" s="39"/>
      <c r="K3" s="39"/>
      <c r="L3" s="39"/>
      <c r="M3" s="39"/>
      <c r="N3" s="39"/>
      <c r="O3" s="39"/>
      <c r="P3" s="39"/>
      <c r="Q3" s="39"/>
      <c r="R3" s="39"/>
      <c r="S3" s="40"/>
    </row>
    <row r="4" spans="1:19">
      <c r="A4" s="34" t="s">
        <v>66</v>
      </c>
    </row>
    <row r="5" spans="1:19">
      <c r="A5" s="34" t="s">
        <v>91</v>
      </c>
    </row>
    <row r="6" spans="1:19">
      <c r="C6" s="34" t="s">
        <v>92</v>
      </c>
      <c r="D6" s="34">
        <v>9000</v>
      </c>
    </row>
    <row r="7" spans="1:19">
      <c r="C7" s="34" t="s">
        <v>93</v>
      </c>
    </row>
    <row r="8" spans="1:19">
      <c r="A8" s="34" t="s">
        <v>13</v>
      </c>
      <c r="C8" s="34">
        <v>30500</v>
      </c>
      <c r="E8" s="34">
        <f>+C8*D6</f>
        <v>274500000</v>
      </c>
    </row>
    <row r="9" spans="1:19">
      <c r="A9" s="34" t="s">
        <v>69</v>
      </c>
      <c r="I9" s="34">
        <v>16000</v>
      </c>
    </row>
    <row r="10" spans="1:19">
      <c r="B10" s="34" t="s">
        <v>70</v>
      </c>
      <c r="C10" s="34">
        <v>10000</v>
      </c>
      <c r="D10" s="34">
        <f>+$D$6*C10</f>
        <v>90000000</v>
      </c>
      <c r="I10" s="34">
        <v>30500</v>
      </c>
    </row>
    <row r="11" spans="1:19">
      <c r="B11" s="45" t="s">
        <v>94</v>
      </c>
      <c r="C11" s="45">
        <v>4500</v>
      </c>
      <c r="D11" s="34">
        <f t="shared" ref="D11:D12" si="0">+$D$6*C11</f>
        <v>40500000</v>
      </c>
      <c r="E11" s="45"/>
      <c r="I11" s="43">
        <f>+I9/I10</f>
        <v>0.52459016393442626</v>
      </c>
    </row>
    <row r="12" spans="1:19">
      <c r="B12" s="45" t="s">
        <v>95</v>
      </c>
      <c r="C12" s="45">
        <v>3000</v>
      </c>
      <c r="D12" s="34">
        <f t="shared" si="0"/>
        <v>27000000</v>
      </c>
      <c r="E12" s="45"/>
      <c r="H12" s="57"/>
    </row>
    <row r="13" spans="1:19" ht="17.25" thickBot="1">
      <c r="B13" s="46"/>
      <c r="C13" s="46"/>
      <c r="D13" s="46"/>
      <c r="E13" s="46">
        <f>+SUM(D10:D13)</f>
        <v>157500000</v>
      </c>
      <c r="H13" s="57"/>
    </row>
    <row r="14" spans="1:19" ht="17.25" thickBot="1">
      <c r="B14" s="34" t="s">
        <v>52</v>
      </c>
      <c r="E14" s="34">
        <f>+E8-E13</f>
        <v>117000000</v>
      </c>
      <c r="G14" s="48" t="s">
        <v>74</v>
      </c>
      <c r="H14" s="58">
        <f>+E14/E8</f>
        <v>0.42622950819672129</v>
      </c>
    </row>
    <row r="15" spans="1:19" ht="17.25" thickBot="1">
      <c r="A15" s="34" t="s">
        <v>76</v>
      </c>
      <c r="H15" s="59"/>
    </row>
    <row r="16" spans="1:19" ht="17.25" thickBot="1">
      <c r="B16" s="34" t="s">
        <v>96</v>
      </c>
      <c r="C16" s="34">
        <v>3000</v>
      </c>
      <c r="D16" s="50">
        <f>+C16*10000</f>
        <v>30000000</v>
      </c>
      <c r="E16" s="34" t="s">
        <v>97</v>
      </c>
      <c r="H16" s="59"/>
    </row>
    <row r="17" spans="1:9" ht="17.25" thickBot="1">
      <c r="B17" s="34" t="s">
        <v>98</v>
      </c>
      <c r="D17" s="34">
        <v>25000000</v>
      </c>
      <c r="H17" s="59"/>
    </row>
    <row r="18" spans="1:9" ht="17.25" thickBot="1">
      <c r="B18" s="46" t="s">
        <v>99</v>
      </c>
      <c r="C18" s="46"/>
      <c r="D18" s="46">
        <v>10000000</v>
      </c>
      <c r="E18" s="46">
        <f>+SUM(D16:D18)</f>
        <v>65000000</v>
      </c>
      <c r="G18" s="48" t="s">
        <v>79</v>
      </c>
      <c r="H18" s="60">
        <f>+E18</f>
        <v>65000000</v>
      </c>
    </row>
    <row r="19" spans="1:9" ht="17.25" thickBot="1">
      <c r="B19" s="34" t="s">
        <v>28</v>
      </c>
      <c r="E19" s="34">
        <f>+E14-E18</f>
        <v>52000000</v>
      </c>
      <c r="G19" s="34" t="s">
        <v>59</v>
      </c>
      <c r="H19" s="58">
        <f>+E19/E8</f>
        <v>0.18943533697632059</v>
      </c>
    </row>
    <row r="20" spans="1:9">
      <c r="A20" s="34" t="s">
        <v>100</v>
      </c>
      <c r="H20" s="59"/>
    </row>
    <row r="21" spans="1:9" ht="17.25" thickBot="1">
      <c r="B21" s="34" t="s">
        <v>101</v>
      </c>
      <c r="D21" s="34">
        <v>2500000</v>
      </c>
      <c r="H21" s="59"/>
    </row>
    <row r="22" spans="1:9" ht="17.25" thickBot="1">
      <c r="B22" s="46" t="s">
        <v>102</v>
      </c>
      <c r="C22" s="46"/>
      <c r="D22" s="46">
        <v>6000000</v>
      </c>
      <c r="E22" s="46">
        <f>+D21-D22</f>
        <v>-3500000</v>
      </c>
      <c r="G22" s="48" t="s">
        <v>82</v>
      </c>
      <c r="H22" s="61">
        <f>+E18-E22</f>
        <v>68500000</v>
      </c>
    </row>
    <row r="23" spans="1:9" ht="17.25" thickBot="1">
      <c r="E23" s="52">
        <f>+E19+E22</f>
        <v>48500000</v>
      </c>
      <c r="H23" s="57"/>
    </row>
    <row r="24" spans="1:9" ht="17.25" thickTop="1"/>
    <row r="25" spans="1:9">
      <c r="I25" s="29"/>
    </row>
    <row r="26" spans="1:9">
      <c r="I26" s="29"/>
    </row>
    <row r="28" spans="1:9">
      <c r="A28" s="34" t="s">
        <v>103</v>
      </c>
    </row>
    <row r="29" spans="1:9" ht="17.25" thickBot="1">
      <c r="B29" s="34" t="s">
        <v>104</v>
      </c>
    </row>
    <row r="30" spans="1:9" ht="17.25" thickBot="1">
      <c r="B30" s="26">
        <f>+H18</f>
        <v>65000000</v>
      </c>
      <c r="C30" s="34" t="s">
        <v>83</v>
      </c>
      <c r="D30" s="53">
        <f>+H14</f>
        <v>0.42622950819672129</v>
      </c>
      <c r="E30" s="34" t="s">
        <v>83</v>
      </c>
      <c r="F30" s="62">
        <f>+C8</f>
        <v>30500</v>
      </c>
      <c r="G30" s="62" t="s">
        <v>105</v>
      </c>
      <c r="H30" s="63">
        <f>+B30/D30/F30</f>
        <v>5000</v>
      </c>
    </row>
    <row r="32" spans="1:9" ht="17.25" thickBot="1">
      <c r="B32" s="34" t="s">
        <v>106</v>
      </c>
    </row>
    <row r="33" spans="1:9" ht="17.25" thickBot="1">
      <c r="B33" s="26">
        <f>+B30</f>
        <v>65000000</v>
      </c>
      <c r="C33" s="34" t="s">
        <v>83</v>
      </c>
      <c r="D33" s="53">
        <f>+D30</f>
        <v>0.42622950819672129</v>
      </c>
      <c r="E33" s="34" t="s">
        <v>83</v>
      </c>
      <c r="F33" s="26">
        <f>+E8</f>
        <v>274500000</v>
      </c>
      <c r="H33" s="64">
        <f>+B33/D33/F33</f>
        <v>0.55555555555555558</v>
      </c>
    </row>
    <row r="35" spans="1:9" ht="17.25" thickBot="1">
      <c r="A35" s="34" t="s">
        <v>107</v>
      </c>
    </row>
    <row r="36" spans="1:9" ht="17.25" thickBot="1">
      <c r="B36" s="34" t="s">
        <v>108</v>
      </c>
      <c r="H36" s="55">
        <f>+H14/H19</f>
        <v>2.25</v>
      </c>
    </row>
    <row r="37" spans="1:9" ht="17.25" thickBot="1"/>
    <row r="38" spans="1:9" ht="17.25" thickBot="1">
      <c r="B38" s="34" t="s">
        <v>109</v>
      </c>
      <c r="H38" s="64">
        <f>0.07*H36</f>
        <v>0.15750000000000003</v>
      </c>
    </row>
    <row r="40" spans="1:9">
      <c r="A40" s="34" t="s">
        <v>110</v>
      </c>
    </row>
    <row r="41" spans="1:9">
      <c r="B41" s="34" t="s">
        <v>111</v>
      </c>
    </row>
    <row r="42" spans="1:9">
      <c r="B42" s="34" t="s">
        <v>112</v>
      </c>
      <c r="C42" s="34">
        <f>360000000*0.2</f>
        <v>72000000</v>
      </c>
      <c r="D42" s="34" t="s">
        <v>113</v>
      </c>
    </row>
    <row r="43" spans="1:9">
      <c r="B43" s="34" t="s">
        <v>114</v>
      </c>
      <c r="C43" s="34">
        <f>+C42/0.6</f>
        <v>120000000</v>
      </c>
      <c r="D43" s="34" t="s">
        <v>115</v>
      </c>
    </row>
    <row r="44" spans="1:9" ht="17.25" thickBot="1">
      <c r="H44" s="34" t="s">
        <v>116</v>
      </c>
    </row>
    <row r="45" spans="1:9" ht="17.25" thickBot="1">
      <c r="B45" s="34" t="s">
        <v>117</v>
      </c>
      <c r="H45" s="50">
        <f>+(H22+C43)/H14/C8</f>
        <v>14500</v>
      </c>
      <c r="I45" s="34" t="s">
        <v>118</v>
      </c>
    </row>
    <row r="47" spans="1:9">
      <c r="A47" s="34" t="s">
        <v>119</v>
      </c>
    </row>
    <row r="48" spans="1:9" ht="17.25" thickBot="1">
      <c r="B48" s="34" t="s">
        <v>120</v>
      </c>
      <c r="D48" s="34">
        <f>+H18+1500000+64000000</f>
        <v>130500000</v>
      </c>
    </row>
    <row r="49" spans="2:8" ht="17.25" thickBot="1">
      <c r="B49" s="34" t="s">
        <v>121</v>
      </c>
      <c r="D49" s="43">
        <f>+(C8-(C10*0.85+C11+C12))/C8</f>
        <v>0.47540983606557374</v>
      </c>
      <c r="F49" s="43"/>
      <c r="H49" s="50">
        <f>+D48/D49</f>
        <v>274500000</v>
      </c>
    </row>
  </sheetData>
  <phoneticPr fontId="4"/>
  <pageMargins left="0.25" right="0.25"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64A8-B6F1-43FF-8492-6013F81FB14F}">
  <sheetPr>
    <pageSetUpPr fitToPage="1"/>
  </sheetPr>
  <dimension ref="A1:S33"/>
  <sheetViews>
    <sheetView workbookViewId="0">
      <selection activeCell="B14" sqref="B14"/>
    </sheetView>
  </sheetViews>
  <sheetFormatPr defaultColWidth="12" defaultRowHeight="16.5"/>
  <cols>
    <col min="1"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53</v>
      </c>
      <c r="B2" s="36"/>
      <c r="C2" s="36"/>
      <c r="D2" s="36"/>
      <c r="E2" s="36"/>
      <c r="F2" s="36"/>
      <c r="G2" s="36"/>
      <c r="H2" s="36"/>
      <c r="I2" s="36"/>
      <c r="J2" s="36"/>
      <c r="K2" s="36"/>
      <c r="L2" s="36"/>
      <c r="M2" s="36"/>
      <c r="N2" s="36"/>
      <c r="O2" s="36"/>
      <c r="P2" s="36"/>
      <c r="Q2" s="36"/>
      <c r="R2" s="36"/>
      <c r="S2" s="37"/>
    </row>
    <row r="3" spans="1:19">
      <c r="A3" s="38" t="s">
        <v>122</v>
      </c>
      <c r="B3" s="39"/>
      <c r="C3" s="39"/>
      <c r="D3" s="39"/>
      <c r="E3" s="39"/>
      <c r="F3" s="39"/>
      <c r="G3" s="39"/>
      <c r="H3" s="39"/>
      <c r="I3" s="39"/>
      <c r="J3" s="39"/>
      <c r="K3" s="39"/>
      <c r="L3" s="39"/>
      <c r="M3" s="39"/>
      <c r="N3" s="39"/>
      <c r="O3" s="39"/>
      <c r="P3" s="39"/>
      <c r="Q3" s="39"/>
      <c r="R3" s="39"/>
      <c r="S3" s="40"/>
    </row>
    <row r="5" spans="1:19">
      <c r="C5" s="34" t="s">
        <v>123</v>
      </c>
      <c r="D5" s="34" t="s">
        <v>124</v>
      </c>
    </row>
    <row r="6" spans="1:19">
      <c r="G6" s="65" t="s">
        <v>125</v>
      </c>
      <c r="H6" s="66"/>
      <c r="I6" s="66"/>
      <c r="J6" s="66"/>
      <c r="K6" s="66"/>
      <c r="L6" s="66"/>
      <c r="M6" s="67"/>
    </row>
    <row r="7" spans="1:19">
      <c r="A7" s="34" t="s">
        <v>126</v>
      </c>
      <c r="C7" s="34">
        <v>5000</v>
      </c>
      <c r="D7" s="34">
        <f>+C7*0.87</f>
        <v>4350</v>
      </c>
      <c r="G7" s="68" t="s">
        <v>127</v>
      </c>
      <c r="H7" s="69"/>
      <c r="I7" s="69"/>
      <c r="J7" s="69"/>
      <c r="K7" s="69"/>
      <c r="L7" s="69"/>
      <c r="M7" s="70"/>
    </row>
    <row r="8" spans="1:19">
      <c r="G8" s="71" t="s">
        <v>128</v>
      </c>
      <c r="H8" s="72"/>
      <c r="I8" s="72"/>
      <c r="J8" s="72"/>
      <c r="K8" s="72"/>
      <c r="L8" s="72"/>
      <c r="M8" s="73"/>
    </row>
    <row r="10" spans="1:19">
      <c r="A10" s="34" t="s">
        <v>129</v>
      </c>
      <c r="C10" s="34">
        <v>1560</v>
      </c>
      <c r="D10" s="34">
        <f>+C10*0.98</f>
        <v>1528.8</v>
      </c>
    </row>
    <row r="11" spans="1:19" ht="17.25" thickBot="1">
      <c r="A11" s="34" t="s">
        <v>130</v>
      </c>
      <c r="C11" s="34">
        <v>1250</v>
      </c>
      <c r="D11" s="34">
        <f>+C11*0.96</f>
        <v>1200</v>
      </c>
      <c r="L11" s="34" t="s">
        <v>131</v>
      </c>
    </row>
    <row r="12" spans="1:19" ht="17.25" thickBot="1">
      <c r="A12" s="34" t="s">
        <v>132</v>
      </c>
      <c r="C12" s="34">
        <v>120</v>
      </c>
      <c r="D12" s="34">
        <f>+C12*1.01</f>
        <v>121.2</v>
      </c>
      <c r="L12" s="34" t="s">
        <v>133</v>
      </c>
      <c r="M12" s="74">
        <f>+(M17-G23)/M17</f>
        <v>0.65068493150684925</v>
      </c>
    </row>
    <row r="13" spans="1:19">
      <c r="A13" s="34" t="s">
        <v>52</v>
      </c>
      <c r="E13" s="34">
        <f>+D7-SUM(D10:D12)</f>
        <v>1500</v>
      </c>
    </row>
    <row r="14" spans="1:19">
      <c r="A14" s="34" t="s">
        <v>134</v>
      </c>
      <c r="E14" s="43">
        <f>+E13/D7</f>
        <v>0.34482758620689657</v>
      </c>
      <c r="G14" s="34" t="s">
        <v>135</v>
      </c>
      <c r="I14" s="34" t="s">
        <v>136</v>
      </c>
      <c r="L14" s="34" t="s">
        <v>137</v>
      </c>
    </row>
    <row r="15" spans="1:19">
      <c r="E15" s="34" t="s">
        <v>138</v>
      </c>
      <c r="I15" s="34" t="s">
        <v>138</v>
      </c>
    </row>
    <row r="16" spans="1:19" ht="17.25" thickBot="1">
      <c r="A16" s="34" t="s">
        <v>139</v>
      </c>
      <c r="C16" s="34">
        <v>4600000</v>
      </c>
      <c r="D16" s="34">
        <f>+C16+200000</f>
        <v>4800000</v>
      </c>
      <c r="G16" s="34" t="s">
        <v>140</v>
      </c>
      <c r="J16" s="34" t="s">
        <v>140</v>
      </c>
    </row>
    <row r="17" spans="1:14" ht="17.25" thickBot="1">
      <c r="A17" s="34" t="s">
        <v>141</v>
      </c>
      <c r="C17" s="34">
        <v>3000000</v>
      </c>
      <c r="D17" s="34">
        <f>+C17+100000</f>
        <v>3100000</v>
      </c>
      <c r="E17" s="34">
        <f>+SUM(D16:D17)+D$26-D$25</f>
        <v>7950000</v>
      </c>
      <c r="G17" s="75">
        <f>+E17/$E$14/$D$7</f>
        <v>5300</v>
      </c>
      <c r="I17" s="34">
        <f>+$E17+$I$28</f>
        <v>10650000</v>
      </c>
      <c r="J17" s="75">
        <f>+I17/$E$14/$D$7</f>
        <v>7099.9999999999991</v>
      </c>
      <c r="L17" s="34">
        <f>+$E17+$L$28</f>
        <v>21900000</v>
      </c>
      <c r="M17" s="76">
        <f>+L17/$E$14/$D$7</f>
        <v>14599.999999999998</v>
      </c>
      <c r="N17" s="34" t="s">
        <v>142</v>
      </c>
    </row>
    <row r="19" spans="1:14" ht="17.25" thickBot="1">
      <c r="A19" s="34" t="s">
        <v>143</v>
      </c>
      <c r="C19" s="34">
        <v>4450000</v>
      </c>
      <c r="D19" s="34">
        <f>+C19+200000</f>
        <v>4650000</v>
      </c>
    </row>
    <row r="20" spans="1:14" ht="17.25" thickBot="1">
      <c r="A20" s="34" t="s">
        <v>144</v>
      </c>
      <c r="C20" s="34">
        <v>3000000</v>
      </c>
      <c r="D20" s="34">
        <f>+C20+100000</f>
        <v>3100000</v>
      </c>
      <c r="E20" s="34">
        <f>+SUM(D19:D20)+D$26-D$25</f>
        <v>7800000</v>
      </c>
      <c r="G20" s="75">
        <f>+E20/$E$14/$D$7</f>
        <v>5200</v>
      </c>
      <c r="I20" s="34">
        <f>+$E20+$I$28</f>
        <v>10500000</v>
      </c>
      <c r="J20" s="76">
        <f>+I20/$E$14/$D$7</f>
        <v>6999.9999999999991</v>
      </c>
      <c r="K20" s="34" t="s">
        <v>142</v>
      </c>
      <c r="L20" s="34">
        <f>+$E20+$L$28</f>
        <v>21750000</v>
      </c>
      <c r="M20" s="75">
        <f>+L20/$E$14/$D$7</f>
        <v>14499.999999999998</v>
      </c>
    </row>
    <row r="22" spans="1:14" ht="17.25" thickBot="1">
      <c r="A22" s="34" t="s">
        <v>145</v>
      </c>
      <c r="C22" s="34">
        <v>4300000</v>
      </c>
      <c r="D22" s="34">
        <f>+C22+200000</f>
        <v>4500000</v>
      </c>
    </row>
    <row r="23" spans="1:14" ht="17.25" thickBot="1">
      <c r="A23" s="34" t="s">
        <v>146</v>
      </c>
      <c r="C23" s="34">
        <v>3000000</v>
      </c>
      <c r="D23" s="34">
        <f>+C23+100000</f>
        <v>3100000</v>
      </c>
      <c r="E23" s="34">
        <f>+SUM(D22:D23)+D$26-D$25</f>
        <v>7650000</v>
      </c>
      <c r="G23" s="76">
        <f>+E23/$E$14/$D$7</f>
        <v>5100</v>
      </c>
      <c r="H23" s="34" t="s">
        <v>142</v>
      </c>
      <c r="I23" s="34">
        <f>+$E23+$I$28</f>
        <v>10350000</v>
      </c>
      <c r="J23" s="75">
        <f>+I23/$E$14/$D$7</f>
        <v>6899.9999999999991</v>
      </c>
      <c r="L23" s="34">
        <f>+$E23+$L$28</f>
        <v>21600000</v>
      </c>
      <c r="M23" s="75">
        <f>+L23/$E$14/$D$7</f>
        <v>14399.999999999998</v>
      </c>
    </row>
    <row r="25" spans="1:14">
      <c r="A25" s="34" t="s">
        <v>101</v>
      </c>
      <c r="D25" s="34">
        <v>600000</v>
      </c>
    </row>
    <row r="26" spans="1:14">
      <c r="A26" s="34" t="s">
        <v>102</v>
      </c>
      <c r="D26" s="34">
        <v>650000</v>
      </c>
    </row>
    <row r="27" spans="1:14" ht="17.25" thickBot="1">
      <c r="L27" s="34" t="s">
        <v>147</v>
      </c>
    </row>
    <row r="28" spans="1:14" ht="17.25" thickBot="1">
      <c r="A28" s="34" t="s">
        <v>148</v>
      </c>
      <c r="I28" s="34">
        <v>2700000</v>
      </c>
      <c r="L28" s="76">
        <f>+L31*L32/(1-L33)</f>
        <v>13950000</v>
      </c>
    </row>
    <row r="31" spans="1:14">
      <c r="K31" s="34" t="s">
        <v>149</v>
      </c>
      <c r="L31" s="34">
        <v>46500000</v>
      </c>
    </row>
    <row r="32" spans="1:14">
      <c r="K32" s="34" t="s">
        <v>150</v>
      </c>
      <c r="L32" s="43">
        <v>0.18</v>
      </c>
    </row>
    <row r="33" spans="11:12">
      <c r="K33" s="34" t="s">
        <v>151</v>
      </c>
      <c r="L33" s="43">
        <v>0.4</v>
      </c>
    </row>
  </sheetData>
  <phoneticPr fontId="4"/>
  <pageMargins left="0.25" right="0.25"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736F-3777-4346-BBB7-107222DCE321}">
  <sheetPr>
    <pageSetUpPr fitToPage="1"/>
  </sheetPr>
  <dimension ref="A1:S18"/>
  <sheetViews>
    <sheetView workbookViewId="0">
      <selection activeCell="G13" sqref="G13"/>
    </sheetView>
  </sheetViews>
  <sheetFormatPr defaultColWidth="12" defaultRowHeight="16.5"/>
  <cols>
    <col min="1"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215</v>
      </c>
      <c r="B2" s="36"/>
      <c r="C2" s="36"/>
      <c r="D2" s="36"/>
      <c r="E2" s="36"/>
      <c r="F2" s="36"/>
      <c r="G2" s="36"/>
      <c r="H2" s="36"/>
      <c r="I2" s="36"/>
      <c r="J2" s="36"/>
      <c r="K2" s="36"/>
      <c r="L2" s="36"/>
      <c r="M2" s="36"/>
      <c r="N2" s="36"/>
      <c r="O2" s="36"/>
      <c r="P2" s="36"/>
      <c r="Q2" s="36"/>
      <c r="R2" s="36"/>
      <c r="S2" s="37"/>
    </row>
    <row r="3" spans="1:19">
      <c r="A3" s="38" t="s">
        <v>54</v>
      </c>
      <c r="B3" s="39"/>
      <c r="C3" s="39"/>
      <c r="D3" s="39"/>
      <c r="E3" s="39"/>
      <c r="F3" s="39"/>
      <c r="G3" s="39"/>
      <c r="H3" s="39"/>
      <c r="I3" s="39"/>
      <c r="J3" s="39"/>
      <c r="K3" s="39"/>
      <c r="L3" s="39"/>
      <c r="M3" s="39"/>
      <c r="N3" s="39"/>
      <c r="O3" s="39"/>
      <c r="P3" s="39"/>
      <c r="Q3" s="39"/>
      <c r="R3" s="39"/>
      <c r="S3" s="40"/>
    </row>
    <row r="4" spans="1:19">
      <c r="A4" s="36"/>
      <c r="B4" s="36"/>
      <c r="C4" s="36"/>
      <c r="D4" s="36"/>
      <c r="E4" s="36"/>
      <c r="F4" s="36"/>
      <c r="G4" s="36"/>
      <c r="H4" s="36"/>
      <c r="I4" s="36"/>
      <c r="J4" s="36"/>
      <c r="K4" s="36"/>
      <c r="L4" s="36"/>
      <c r="M4" s="36"/>
      <c r="N4" s="36"/>
      <c r="O4" s="36"/>
      <c r="P4" s="36"/>
      <c r="Q4" s="36"/>
      <c r="R4" s="36"/>
      <c r="S4" s="36"/>
    </row>
    <row r="5" spans="1:19">
      <c r="A5" s="65" t="s">
        <v>153</v>
      </c>
      <c r="B5" s="66"/>
      <c r="C5" s="66"/>
      <c r="D5" s="67"/>
    </row>
    <row r="6" spans="1:19">
      <c r="A6" s="71" t="s">
        <v>216</v>
      </c>
      <c r="B6" s="72"/>
      <c r="C6" s="72"/>
      <c r="D6" s="73"/>
    </row>
    <row r="7" spans="1:19">
      <c r="F7" s="103" t="s">
        <v>217</v>
      </c>
      <c r="H7" s="34" t="s">
        <v>147</v>
      </c>
    </row>
    <row r="8" spans="1:19">
      <c r="B8" s="34" t="s">
        <v>218</v>
      </c>
      <c r="C8" s="34" t="s">
        <v>219</v>
      </c>
      <c r="D8" s="34" t="s">
        <v>220</v>
      </c>
      <c r="F8" s="34" t="s">
        <v>221</v>
      </c>
    </row>
    <row r="9" spans="1:19">
      <c r="A9" s="34" t="s">
        <v>222</v>
      </c>
      <c r="B9" s="34">
        <v>300</v>
      </c>
      <c r="C9" s="34">
        <v>500</v>
      </c>
      <c r="D9" s="34">
        <v>800</v>
      </c>
      <c r="F9" s="34">
        <f>+B9*B$13+C9*C$13+D9*D$13</f>
        <v>2700</v>
      </c>
      <c r="H9" s="34">
        <f>+B9*B$14+C9*C$14+D9*D$14</f>
        <v>3200</v>
      </c>
    </row>
    <row r="10" spans="1:19">
      <c r="A10" s="34" t="s">
        <v>223</v>
      </c>
      <c r="B10" s="34">
        <v>200</v>
      </c>
      <c r="C10" s="34">
        <v>300</v>
      </c>
      <c r="D10" s="34">
        <v>500</v>
      </c>
      <c r="F10" s="34">
        <f>+B10*B$13+C10*C$13+D10*D$13</f>
        <v>1700</v>
      </c>
      <c r="H10" s="34">
        <f>+B10*B$14+C10*C$14+D10*D$14</f>
        <v>2000</v>
      </c>
    </row>
    <row r="11" spans="1:19">
      <c r="A11" s="34" t="s">
        <v>224</v>
      </c>
      <c r="B11" s="34">
        <f>+B9-B10</f>
        <v>100</v>
      </c>
      <c r="C11" s="34">
        <f t="shared" ref="C11:H11" si="0">+C9-C10</f>
        <v>200</v>
      </c>
      <c r="D11" s="34">
        <f t="shared" si="0"/>
        <v>300</v>
      </c>
      <c r="F11" s="34">
        <f t="shared" si="0"/>
        <v>1000</v>
      </c>
      <c r="H11" s="34">
        <f t="shared" si="0"/>
        <v>1200</v>
      </c>
    </row>
    <row r="12" spans="1:19">
      <c r="A12" s="34" t="s">
        <v>134</v>
      </c>
      <c r="F12" s="43">
        <f>+F11/F9</f>
        <v>0.37037037037037035</v>
      </c>
      <c r="H12" s="43">
        <f>+H11/H9</f>
        <v>0.375</v>
      </c>
    </row>
    <row r="13" spans="1:19">
      <c r="A13" s="34" t="s">
        <v>225</v>
      </c>
      <c r="B13" s="34">
        <v>3</v>
      </c>
      <c r="C13" s="34">
        <v>2</v>
      </c>
      <c r="D13" s="34">
        <v>1</v>
      </c>
    </row>
    <row r="14" spans="1:19">
      <c r="B14" s="34">
        <v>3</v>
      </c>
      <c r="C14" s="34">
        <v>3</v>
      </c>
      <c r="D14" s="34">
        <v>1</v>
      </c>
    </row>
    <row r="16" spans="1:19">
      <c r="A16" s="34" t="s">
        <v>226</v>
      </c>
      <c r="F16" s="34">
        <v>4800000</v>
      </c>
    </row>
    <row r="17" spans="1:8" ht="17.25" thickBot="1"/>
    <row r="18" spans="1:8" ht="17.25" thickBot="1">
      <c r="A18" s="34" t="s">
        <v>227</v>
      </c>
      <c r="F18" s="76">
        <f>+F16/F12</f>
        <v>12960000</v>
      </c>
      <c r="H18" s="76">
        <f>+F16/H12</f>
        <v>12800000</v>
      </c>
    </row>
  </sheetData>
  <phoneticPr fontId="4"/>
  <pageMargins left="0.25" right="0.25"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7296F-95C0-43AF-A774-59FF89A4D683}">
  <sheetPr>
    <pageSetUpPr fitToPage="1"/>
  </sheetPr>
  <dimension ref="A1:S24"/>
  <sheetViews>
    <sheetView workbookViewId="0">
      <selection activeCell="G13" sqref="G13"/>
    </sheetView>
  </sheetViews>
  <sheetFormatPr defaultColWidth="12" defaultRowHeight="16.5"/>
  <cols>
    <col min="1"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215</v>
      </c>
      <c r="B2" s="36"/>
      <c r="C2" s="36"/>
      <c r="D2" s="36"/>
      <c r="E2" s="36"/>
      <c r="F2" s="36"/>
      <c r="G2" s="36"/>
      <c r="H2" s="36"/>
      <c r="I2" s="36"/>
      <c r="J2" s="36"/>
      <c r="K2" s="36"/>
      <c r="L2" s="36"/>
      <c r="M2" s="36"/>
      <c r="N2" s="36"/>
      <c r="O2" s="36"/>
      <c r="P2" s="36"/>
      <c r="Q2" s="36"/>
      <c r="R2" s="36"/>
      <c r="S2" s="37"/>
    </row>
    <row r="3" spans="1:19">
      <c r="A3" s="38" t="s">
        <v>65</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7"/>
    </row>
    <row r="6" spans="1:19">
      <c r="A6" s="71" t="s">
        <v>228</v>
      </c>
      <c r="B6" s="72"/>
      <c r="C6" s="72"/>
      <c r="D6" s="73"/>
    </row>
    <row r="8" spans="1:19">
      <c r="B8" s="34" t="s">
        <v>229</v>
      </c>
      <c r="C8" s="34" t="s">
        <v>230</v>
      </c>
      <c r="D8" s="34" t="s">
        <v>12</v>
      </c>
    </row>
    <row r="9" spans="1:19">
      <c r="A9" s="34" t="s">
        <v>222</v>
      </c>
      <c r="B9" s="34">
        <v>30</v>
      </c>
      <c r="C9" s="34">
        <v>20</v>
      </c>
      <c r="D9" s="34">
        <v>25</v>
      </c>
    </row>
    <row r="10" spans="1:19">
      <c r="A10" s="34" t="s">
        <v>223</v>
      </c>
      <c r="B10" s="34">
        <v>18</v>
      </c>
      <c r="C10" s="34">
        <v>10</v>
      </c>
      <c r="D10" s="34">
        <v>19</v>
      </c>
    </row>
    <row r="11" spans="1:19">
      <c r="A11" s="34" t="s">
        <v>224</v>
      </c>
      <c r="B11" s="34">
        <f>+B9-B10</f>
        <v>12</v>
      </c>
      <c r="C11" s="34">
        <f t="shared" ref="C11:D11" si="0">+C9-C10</f>
        <v>10</v>
      </c>
      <c r="D11" s="34">
        <f t="shared" si="0"/>
        <v>6</v>
      </c>
    </row>
    <row r="13" spans="1:19">
      <c r="A13" s="34" t="s">
        <v>231</v>
      </c>
      <c r="C13" s="34">
        <v>4800</v>
      </c>
    </row>
    <row r="15" spans="1:19">
      <c r="A15" s="34" t="s">
        <v>232</v>
      </c>
      <c r="B15" s="34">
        <v>12</v>
      </c>
      <c r="C15" s="34">
        <v>4</v>
      </c>
      <c r="D15" s="34">
        <v>2</v>
      </c>
    </row>
    <row r="16" spans="1:19">
      <c r="A16" s="34" t="s">
        <v>233</v>
      </c>
    </row>
    <row r="17" spans="1:5">
      <c r="B17" s="104">
        <f>+B11/B15</f>
        <v>1</v>
      </c>
      <c r="C17" s="104">
        <f>+C11/C15</f>
        <v>2.5</v>
      </c>
      <c r="D17" s="104">
        <f>+D11/D15</f>
        <v>3</v>
      </c>
    </row>
    <row r="18" spans="1:5">
      <c r="A18" s="34" t="s">
        <v>234</v>
      </c>
      <c r="B18" s="34" t="s">
        <v>235</v>
      </c>
      <c r="C18" s="34" t="s">
        <v>236</v>
      </c>
      <c r="D18" s="34" t="s">
        <v>237</v>
      </c>
    </row>
    <row r="19" spans="1:5" ht="17.25" thickBot="1">
      <c r="A19" s="34" t="s">
        <v>238</v>
      </c>
      <c r="B19" s="34">
        <v>400</v>
      </c>
      <c r="C19" s="34">
        <v>400</v>
      </c>
      <c r="D19" s="34">
        <v>400</v>
      </c>
    </row>
    <row r="20" spans="1:5" ht="17.25" thickBot="1">
      <c r="A20" s="34" t="s">
        <v>239</v>
      </c>
      <c r="B20" s="105">
        <v>200</v>
      </c>
      <c r="C20" s="106">
        <v>400</v>
      </c>
      <c r="D20" s="84">
        <v>400</v>
      </c>
    </row>
    <row r="21" spans="1:5">
      <c r="A21" s="34" t="s">
        <v>240</v>
      </c>
      <c r="B21" s="34">
        <f>+B20*B15</f>
        <v>2400</v>
      </c>
      <c r="C21" s="34">
        <f>+C20*C15</f>
        <v>1600</v>
      </c>
      <c r="D21" s="34">
        <f>+D20*D15</f>
        <v>800</v>
      </c>
      <c r="E21" s="34">
        <f>+SUM(B21:D21)</f>
        <v>4800</v>
      </c>
    </row>
    <row r="22" spans="1:5">
      <c r="D22" s="34" t="s">
        <v>241</v>
      </c>
    </row>
    <row r="23" spans="1:5">
      <c r="C23" s="34" t="s">
        <v>242</v>
      </c>
    </row>
    <row r="24" spans="1:5">
      <c r="B24" s="34" t="s">
        <v>243</v>
      </c>
    </row>
  </sheetData>
  <phoneticPr fontId="4"/>
  <pageMargins left="0.25" right="0.25"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637D1-386D-4C41-92D4-DEF1C098B309}">
  <sheetPr>
    <pageSetUpPr fitToPage="1"/>
  </sheetPr>
  <dimension ref="A1:S9"/>
  <sheetViews>
    <sheetView workbookViewId="0">
      <selection activeCell="G13" sqref="G13"/>
    </sheetView>
  </sheetViews>
  <sheetFormatPr defaultColWidth="12" defaultRowHeight="16.5"/>
  <cols>
    <col min="1" max="16384" width="12" style="34"/>
  </cols>
  <sheetData>
    <row r="1" spans="1:19">
      <c r="A1" s="1" t="s">
        <v>0</v>
      </c>
      <c r="B1" s="32"/>
      <c r="C1" s="32"/>
      <c r="D1" s="32"/>
      <c r="E1" s="32"/>
      <c r="F1" s="32"/>
      <c r="G1" s="32"/>
      <c r="H1" s="32"/>
      <c r="I1" s="32"/>
      <c r="J1" s="32"/>
      <c r="K1" s="32"/>
      <c r="L1" s="32"/>
      <c r="M1" s="32"/>
      <c r="N1" s="32"/>
      <c r="O1" s="32"/>
      <c r="P1" s="32"/>
      <c r="Q1" s="32"/>
      <c r="R1" s="32"/>
      <c r="S1" s="33"/>
    </row>
    <row r="2" spans="1:19">
      <c r="A2" s="35" t="s">
        <v>215</v>
      </c>
      <c r="B2" s="36"/>
      <c r="C2" s="36"/>
      <c r="D2" s="36"/>
      <c r="E2" s="36"/>
      <c r="F2" s="36"/>
      <c r="G2" s="36"/>
      <c r="H2" s="36"/>
      <c r="I2" s="36"/>
      <c r="J2" s="36"/>
      <c r="K2" s="36"/>
      <c r="L2" s="36"/>
      <c r="M2" s="36"/>
      <c r="N2" s="36"/>
      <c r="O2" s="36"/>
      <c r="P2" s="36"/>
      <c r="Q2" s="36"/>
      <c r="R2" s="36"/>
      <c r="S2" s="37"/>
    </row>
    <row r="3" spans="1:19">
      <c r="A3" s="38" t="s">
        <v>244</v>
      </c>
      <c r="B3" s="39"/>
      <c r="C3" s="39"/>
      <c r="D3" s="39"/>
      <c r="E3" s="39"/>
      <c r="F3" s="39"/>
      <c r="G3" s="39"/>
      <c r="H3" s="39"/>
      <c r="I3" s="39"/>
      <c r="J3" s="39"/>
      <c r="K3" s="39"/>
      <c r="L3" s="39"/>
      <c r="M3" s="39"/>
      <c r="N3" s="39"/>
      <c r="O3" s="39"/>
      <c r="P3" s="39"/>
      <c r="Q3" s="39"/>
      <c r="R3" s="39"/>
      <c r="S3" s="40"/>
    </row>
    <row r="4" spans="1:19" s="57" customFormat="1">
      <c r="A4" s="77"/>
      <c r="B4" s="77"/>
      <c r="C4" s="77"/>
      <c r="D4" s="77"/>
      <c r="E4" s="77"/>
      <c r="F4" s="77"/>
      <c r="G4" s="77"/>
      <c r="H4" s="77"/>
      <c r="I4" s="77"/>
      <c r="J4" s="77"/>
      <c r="K4" s="77"/>
      <c r="L4" s="77"/>
      <c r="M4" s="77"/>
      <c r="N4" s="77"/>
      <c r="O4" s="77"/>
      <c r="P4" s="77"/>
      <c r="Q4" s="77"/>
      <c r="R4" s="77"/>
      <c r="S4" s="77"/>
    </row>
    <row r="5" spans="1:19">
      <c r="A5" s="65" t="s">
        <v>153</v>
      </c>
      <c r="B5" s="66"/>
      <c r="C5" s="66"/>
      <c r="D5" s="66"/>
      <c r="E5" s="66"/>
      <c r="F5" s="66"/>
      <c r="G5" s="66"/>
      <c r="H5" s="66"/>
      <c r="I5" s="66"/>
      <c r="J5" s="66"/>
      <c r="K5" s="66"/>
      <c r="L5" s="67"/>
    </row>
    <row r="6" spans="1:19">
      <c r="A6" s="71" t="s">
        <v>245</v>
      </c>
      <c r="B6" s="72"/>
      <c r="C6" s="72"/>
      <c r="D6" s="72"/>
      <c r="E6" s="72"/>
      <c r="F6" s="72"/>
      <c r="G6" s="72"/>
      <c r="H6" s="72"/>
      <c r="I6" s="72"/>
      <c r="J6" s="72"/>
      <c r="K6" s="72"/>
      <c r="L6" s="73"/>
    </row>
    <row r="8" spans="1:19">
      <c r="B8" s="34" t="s">
        <v>246</v>
      </c>
    </row>
    <row r="9" spans="1:19">
      <c r="B9" s="34" t="s">
        <v>247</v>
      </c>
    </row>
  </sheetData>
  <phoneticPr fontId="4"/>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1 例題1</vt:lpstr>
      <vt:lpstr>1 問題1</vt:lpstr>
      <vt:lpstr>2例題１</vt:lpstr>
      <vt:lpstr>2例題2</vt:lpstr>
      <vt:lpstr>2_問題1</vt:lpstr>
      <vt:lpstr>2_問題2</vt:lpstr>
      <vt:lpstr>3 例題1</vt:lpstr>
      <vt:lpstr>3 例題2</vt:lpstr>
      <vt:lpstr>3 例題3</vt:lpstr>
      <vt:lpstr>3 問題1</vt:lpstr>
      <vt:lpstr>3 問題2</vt:lpstr>
      <vt:lpstr>4 例題1</vt:lpstr>
      <vt:lpstr>4 例題2</vt:lpstr>
      <vt:lpstr>4 例題3</vt:lpstr>
      <vt:lpstr>4 問題1</vt:lpstr>
      <vt:lpstr>4 問題3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2017-04-01T03:01:50Z</dcterms:created>
  <dcterms:modified xsi:type="dcterms:W3CDTF">2017-11-25T08:28:29Z</dcterms:modified>
</cp:coreProperties>
</file>