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su\Desktop\"/>
    </mc:Choice>
  </mc:AlternateContent>
  <bookViews>
    <workbookView xWindow="0" yWindow="0" windowWidth="19200" windowHeight="7365"/>
  </bookViews>
  <sheets>
    <sheet name="10例題1" sheetId="1" r:id="rId1"/>
    <sheet name="10例題2" sheetId="2" r:id="rId2"/>
    <sheet name="10例題3" sheetId="3" r:id="rId3"/>
    <sheet name="10問題1" sheetId="4" r:id="rId4"/>
    <sheet name="10問題2" sheetId="5" r:id="rId5"/>
    <sheet name="10問題3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6" l="1"/>
  <c r="D56" i="6" s="1"/>
  <c r="I44" i="6"/>
  <c r="F44" i="6"/>
  <c r="C44" i="6" s="1"/>
  <c r="D38" i="6"/>
  <c r="N36" i="6"/>
  <c r="H34" i="6" s="1"/>
  <c r="I36" i="6"/>
  <c r="I45" i="6" s="1"/>
  <c r="F36" i="6"/>
  <c r="F45" i="6" s="1"/>
  <c r="C45" i="6" s="1"/>
  <c r="N35" i="6"/>
  <c r="I34" i="6"/>
  <c r="E34" i="6"/>
  <c r="I30" i="6"/>
  <c r="H30" i="6"/>
  <c r="F30" i="6"/>
  <c r="F40" i="6" s="1"/>
  <c r="C40" i="6" s="1"/>
  <c r="I24" i="6"/>
  <c r="G24" i="6"/>
  <c r="E24" i="6"/>
  <c r="C24" i="6" s="1"/>
  <c r="G20" i="6"/>
  <c r="D18" i="6"/>
  <c r="I16" i="6"/>
  <c r="I25" i="6" s="1"/>
  <c r="G16" i="6"/>
  <c r="G25" i="6" s="1"/>
  <c r="E16" i="6"/>
  <c r="E25" i="6" s="1"/>
  <c r="N15" i="6"/>
  <c r="N16" i="6" s="1"/>
  <c r="N14" i="6"/>
  <c r="I13" i="6"/>
  <c r="H13" i="6"/>
  <c r="G13" i="6"/>
  <c r="F13" i="6"/>
  <c r="E13" i="6"/>
  <c r="D13" i="6"/>
  <c r="C22" i="6" s="1"/>
  <c r="I12" i="6"/>
  <c r="H12" i="6"/>
  <c r="G12" i="6"/>
  <c r="F12" i="6"/>
  <c r="E12" i="6"/>
  <c r="D12" i="6"/>
  <c r="C21" i="6" s="1"/>
  <c r="I10" i="6"/>
  <c r="H10" i="6"/>
  <c r="G10" i="6"/>
  <c r="E10" i="6"/>
  <c r="E20" i="6" s="1"/>
  <c r="C20" i="6" s="1"/>
  <c r="K61" i="5"/>
  <c r="J61" i="5"/>
  <c r="I61" i="5"/>
  <c r="D56" i="5"/>
  <c r="D54" i="5"/>
  <c r="K51" i="5"/>
  <c r="K55" i="5" s="1"/>
  <c r="D53" i="5" s="1"/>
  <c r="F41" i="5"/>
  <c r="F42" i="5" s="1"/>
  <c r="C41" i="5"/>
  <c r="C42" i="5" s="1"/>
  <c r="G40" i="5"/>
  <c r="D40" i="5"/>
  <c r="C32" i="5"/>
  <c r="H29" i="5"/>
  <c r="H28" i="5"/>
  <c r="G26" i="5"/>
  <c r="F23" i="5"/>
  <c r="C14" i="5"/>
  <c r="C17" i="5" s="1"/>
  <c r="C18" i="5" s="1"/>
  <c r="H44" i="4"/>
  <c r="J24" i="4"/>
  <c r="O15" i="4"/>
  <c r="O16" i="4" s="1"/>
  <c r="J15" i="4" s="1"/>
  <c r="G15" i="4"/>
  <c r="L13" i="4"/>
  <c r="J13" i="4"/>
  <c r="G13" i="4"/>
  <c r="E23" i="3"/>
  <c r="C22" i="3"/>
  <c r="C20" i="3"/>
  <c r="D14" i="3"/>
  <c r="H27" i="1"/>
  <c r="D23" i="1" s="1"/>
  <c r="K30" i="1" s="1"/>
  <c r="P25" i="1"/>
  <c r="H24" i="1"/>
  <c r="K22" i="1"/>
  <c r="P15" i="1"/>
  <c r="K14" i="1"/>
  <c r="K24" i="1" s="1"/>
  <c r="H14" i="1"/>
  <c r="M12" i="1"/>
  <c r="K12" i="1"/>
  <c r="K16" i="1" s="1"/>
  <c r="H12" i="1"/>
  <c r="J18" i="1" l="1"/>
  <c r="K18" i="1" s="1"/>
  <c r="K20" i="1" s="1"/>
  <c r="C27" i="6"/>
  <c r="C47" i="6" s="1"/>
  <c r="C41" i="6" s="1"/>
  <c r="G48" i="6" s="1"/>
  <c r="K28" i="1"/>
  <c r="K26" i="1" s="1"/>
  <c r="J28" i="1" s="1"/>
  <c r="J26" i="4"/>
  <c r="J17" i="4"/>
  <c r="G14" i="6"/>
  <c r="F14" i="6"/>
  <c r="H14" i="6"/>
  <c r="D14" i="6"/>
  <c r="C23" i="6" s="1"/>
  <c r="I14" i="6"/>
  <c r="E14" i="6"/>
  <c r="C25" i="6"/>
  <c r="E14" i="5"/>
  <c r="F34" i="6"/>
  <c r="G34" i="6"/>
  <c r="D34" i="6"/>
  <c r="C43" i="6" s="1"/>
  <c r="E13" i="1" l="1"/>
  <c r="H13" i="1"/>
  <c r="D13" i="1"/>
  <c r="C16" i="1" s="1"/>
  <c r="C17" i="1" s="1"/>
  <c r="F13" i="1"/>
  <c r="G13" i="1"/>
  <c r="F35" i="5"/>
  <c r="G27" i="5"/>
  <c r="C19" i="5"/>
  <c r="C20" i="5" s="1"/>
  <c r="P24" i="1"/>
  <c r="P26" i="1" s="1"/>
  <c r="J19" i="4"/>
  <c r="J21" i="4" s="1"/>
  <c r="I19" i="4"/>
  <c r="D14" i="4" l="1"/>
  <c r="H27" i="5"/>
  <c r="H26" i="5" s="1"/>
  <c r="H23" i="5" s="1"/>
  <c r="G28" i="5"/>
  <c r="G29" i="5" s="1"/>
  <c r="C24" i="5" s="1"/>
  <c r="D41" i="5" l="1"/>
  <c r="C27" i="5"/>
  <c r="G41" i="5"/>
  <c r="C17" i="4"/>
  <c r="C18" i="4" s="1"/>
  <c r="E14" i="4"/>
  <c r="F14" i="4" s="1"/>
  <c r="G14" i="4" s="1"/>
  <c r="D57" i="5" l="1"/>
  <c r="G42" i="5"/>
  <c r="F38" i="4"/>
  <c r="C24" i="4"/>
  <c r="J32" i="4" s="1"/>
  <c r="J30" i="4" s="1"/>
  <c r="J28" i="4" s="1"/>
  <c r="F36" i="4"/>
  <c r="F37" i="4"/>
  <c r="C22" i="4"/>
  <c r="D42" i="5"/>
  <c r="D55" i="5"/>
  <c r="I30" i="4" l="1"/>
  <c r="L24" i="4"/>
  <c r="N27" i="4" l="1"/>
  <c r="N24" i="4"/>
</calcChain>
</file>

<file path=xl/comments1.xml><?xml version="1.0" encoding="utf-8"?>
<comments xmlns="http://schemas.openxmlformats.org/spreadsheetml/2006/main">
  <authors>
    <author>作成者</author>
  </authors>
  <commentLis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>イケカコ解答を見ると気絶しそうになるが、エクセルなら値を打ち変えて一瞬。</t>
        </r>
      </text>
    </comment>
    <comment ref="H44" authorId="0" shapeId="0">
      <text>
        <r>
          <rPr>
            <sz val="9"/>
            <color indexed="81"/>
            <rFont val="MS P ゴシック"/>
            <family val="3"/>
            <charset val="128"/>
          </rPr>
          <t>ここもエクセルなら一発。手計算するかは人それぞれ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12" authorId="0" shapeId="0">
      <text>
        <r>
          <rPr>
            <sz val="9"/>
            <color indexed="81"/>
            <rFont val="MS P ゴシック"/>
            <family val="3"/>
            <charset val="128"/>
          </rPr>
          <t>当問は収益が同額原価として与えられないため、現金支出とTSのみに注目して計算する。
CIF、減価償却費を入れて計算する方が正しいと考えられるが、解答がそうなっているので、ここは割り切る。</t>
        </r>
      </text>
    </comment>
    <comment ref="C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②逆算で、現金支出＋TS分(つまり×0.6掛)分のPVを求める
</t>
        </r>
      </text>
    </comment>
    <comment ref="C47" authorId="0" shapeId="0">
      <text>
        <r>
          <rPr>
            <sz val="9"/>
            <color indexed="81"/>
            <rFont val="MS P ゴシック"/>
            <family val="3"/>
            <charset val="128"/>
          </rPr>
          <t>①α機械と同額にする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③求めたPVを年金原価係数で割ると、年辺りの許容現金支出額を計算できる</t>
        </r>
      </text>
    </comment>
  </commentList>
</comments>
</file>

<file path=xl/sharedStrings.xml><?xml version="1.0" encoding="utf-8"?>
<sst xmlns="http://schemas.openxmlformats.org/spreadsheetml/2006/main" count="326" uniqueCount="179">
  <si>
    <t>イケカコ エクセル活躍学習法</t>
    <rPh sb="9" eb="11">
      <t>カツヤク</t>
    </rPh>
    <rPh sb="11" eb="14">
      <t>ガクシュウホウ</t>
    </rPh>
    <phoneticPr fontId="4"/>
  </si>
  <si>
    <t>Lecture 10 戦略的意思決定会計(3)</t>
    <rPh sb="11" eb="13">
      <t>センリャク</t>
    </rPh>
    <rPh sb="13" eb="14">
      <t>テキ</t>
    </rPh>
    <rPh sb="14" eb="16">
      <t>イシ</t>
    </rPh>
    <rPh sb="16" eb="18">
      <t>ケッテイ</t>
    </rPh>
    <rPh sb="18" eb="20">
      <t>カイケイ</t>
    </rPh>
    <phoneticPr fontId="4"/>
  </si>
  <si>
    <t>2限目 例題1</t>
    <rPh sb="1" eb="3">
      <t>ゲンメ</t>
    </rPh>
    <rPh sb="4" eb="6">
      <t>レイダイ</t>
    </rPh>
    <phoneticPr fontId="4"/>
  </si>
  <si>
    <t>解き方</t>
    <rPh sb="0" eb="1">
      <t>ト</t>
    </rPh>
    <rPh sb="2" eb="3">
      <t>カタ</t>
    </rPh>
    <phoneticPr fontId="4"/>
  </si>
  <si>
    <t>・問１はごくオーソドックスな、税引後CIFからNPVを求める問題。</t>
    <rPh sb="1" eb="2">
      <t>トイ</t>
    </rPh>
    <rPh sb="15" eb="17">
      <t>ゼイビキ</t>
    </rPh>
    <rPh sb="17" eb="18">
      <t>ゴ</t>
    </rPh>
    <rPh sb="27" eb="28">
      <t>モト</t>
    </rPh>
    <rPh sb="30" eb="32">
      <t>モンダイ</t>
    </rPh>
    <phoneticPr fontId="4"/>
  </si>
  <si>
    <t>・問２はNPV＝0となるような販売量を求める問題。イケカコ解説はNPVに相当する分の差額数量で求めた。エクセルシート上では、総額で税引後CIFまで戻るやり方を示した。</t>
    <rPh sb="1" eb="2">
      <t>トイ</t>
    </rPh>
    <rPh sb="15" eb="17">
      <t>ハンバイ</t>
    </rPh>
    <rPh sb="17" eb="18">
      <t>リョウ</t>
    </rPh>
    <rPh sb="19" eb="20">
      <t>モト</t>
    </rPh>
    <rPh sb="22" eb="24">
      <t>モンダイ</t>
    </rPh>
    <rPh sb="29" eb="31">
      <t>カイセツ</t>
    </rPh>
    <rPh sb="36" eb="38">
      <t>ソウトウ</t>
    </rPh>
    <rPh sb="40" eb="41">
      <t>ブン</t>
    </rPh>
    <rPh sb="42" eb="44">
      <t>サガク</t>
    </rPh>
    <rPh sb="44" eb="46">
      <t>スウリョウ</t>
    </rPh>
    <rPh sb="47" eb="48">
      <t>モト</t>
    </rPh>
    <rPh sb="58" eb="59">
      <t>ジョウ</t>
    </rPh>
    <rPh sb="62" eb="64">
      <t>ソウガク</t>
    </rPh>
    <rPh sb="65" eb="67">
      <t>ゼイビキ</t>
    </rPh>
    <rPh sb="67" eb="68">
      <t>ゴ</t>
    </rPh>
    <rPh sb="73" eb="74">
      <t>モド</t>
    </rPh>
    <rPh sb="77" eb="78">
      <t>カタ</t>
    </rPh>
    <rPh sb="79" eb="80">
      <t>シメ</t>
    </rPh>
    <phoneticPr fontId="4"/>
  </si>
  <si>
    <t>単価</t>
    <rPh sb="0" eb="2">
      <t>タンカ</t>
    </rPh>
    <phoneticPr fontId="4"/>
  </si>
  <si>
    <t>総額</t>
    <rPh sb="0" eb="2">
      <t>ソウガク</t>
    </rPh>
    <phoneticPr fontId="4"/>
  </si>
  <si>
    <t>問1</t>
    <rPh sb="0" eb="1">
      <t>トイ</t>
    </rPh>
    <phoneticPr fontId="4"/>
  </si>
  <si>
    <t>毎年のキャッシュフローの算定→税引後CIF BOX</t>
    <rPh sb="0" eb="2">
      <t>マイトシ</t>
    </rPh>
    <rPh sb="12" eb="14">
      <t>サンテイ</t>
    </rPh>
    <rPh sb="15" eb="17">
      <t>ゼイビキ</t>
    </rPh>
    <rPh sb="17" eb="18">
      <t>ゴ</t>
    </rPh>
    <phoneticPr fontId="4"/>
  </si>
  <si>
    <t>販売個数</t>
    <rPh sb="0" eb="2">
      <t>ハンバイ</t>
    </rPh>
    <rPh sb="2" eb="4">
      <t>コスウ</t>
    </rPh>
    <phoneticPr fontId="4"/>
  </si>
  <si>
    <t>税引後CIF BOX  単位：万円</t>
    <rPh sb="0" eb="2">
      <t>ゼイビ</t>
    </rPh>
    <rPh sb="2" eb="3">
      <t>ゴ</t>
    </rPh>
    <rPh sb="12" eb="14">
      <t>タンイ</t>
    </rPh>
    <rPh sb="15" eb="17">
      <t>マンエン</t>
    </rPh>
    <phoneticPr fontId="4"/>
  </si>
  <si>
    <t>販売価格</t>
    <rPh sb="0" eb="2">
      <t>ハンバイ</t>
    </rPh>
    <rPh sb="2" eb="4">
      <t>カカク</t>
    </rPh>
    <phoneticPr fontId="4"/>
  </si>
  <si>
    <t>COF</t>
    <phoneticPr fontId="4"/>
  </si>
  <si>
    <t>CIF</t>
    <phoneticPr fontId="4"/>
  </si>
  <si>
    <t>変動費</t>
    <rPh sb="0" eb="2">
      <t>ヘンドウ</t>
    </rPh>
    <rPh sb="2" eb="3">
      <t>ヒ</t>
    </rPh>
    <phoneticPr fontId="4"/>
  </si>
  <si>
    <t>①投資額 △</t>
    <rPh sb="1" eb="3">
      <t>トウシ</t>
    </rPh>
    <rPh sb="3" eb="4">
      <t>ガク</t>
    </rPh>
    <phoneticPr fontId="4"/>
  </si>
  <si>
    <t>費用</t>
    <rPh sb="0" eb="2">
      <t>ヒヨウ</t>
    </rPh>
    <phoneticPr fontId="4"/>
  </si>
  <si>
    <t>収益</t>
    <rPh sb="0" eb="2">
      <t>シュウエキ</t>
    </rPh>
    <phoneticPr fontId="4"/>
  </si>
  <si>
    <t>固定費</t>
    <rPh sb="0" eb="2">
      <t>コテイ</t>
    </rPh>
    <rPh sb="2" eb="3">
      <t>ヒ</t>
    </rPh>
    <phoneticPr fontId="4"/>
  </si>
  <si>
    <t>CF</t>
    <phoneticPr fontId="4"/>
  </si>
  <si>
    <t>CF(残存価額)</t>
    <rPh sb="3" eb="5">
      <t>ザンゾン</t>
    </rPh>
    <rPh sb="5" eb="7">
      <t>カガク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</si>
  <si>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</si>
  <si>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取得価額</t>
    <rPh sb="0" eb="2">
      <t>シュトク</t>
    </rPh>
    <rPh sb="2" eb="4">
      <t>カガク</t>
    </rPh>
    <phoneticPr fontId="4"/>
  </si>
  <si>
    <t>現価係数</t>
    <rPh sb="0" eb="2">
      <t>ゲンカ</t>
    </rPh>
    <rPh sb="2" eb="4">
      <t>ケイスウ</t>
    </rPh>
    <phoneticPr fontId="4"/>
  </si>
  <si>
    <t>減価償却費/年</t>
    <rPh sb="0" eb="2">
      <t>ゲンカ</t>
    </rPh>
    <rPh sb="2" eb="4">
      <t>ショウキャク</t>
    </rPh>
    <rPh sb="4" eb="5">
      <t>ヒ</t>
    </rPh>
    <rPh sb="6" eb="7">
      <t>ネン</t>
    </rPh>
    <phoneticPr fontId="4"/>
  </si>
  <si>
    <t>②割引後CF</t>
    <rPh sb="1" eb="3">
      <t>ワリビキ</t>
    </rPh>
    <rPh sb="3" eb="4">
      <t>ゴ</t>
    </rPh>
    <phoneticPr fontId="4"/>
  </si>
  <si>
    <t>会計利益</t>
    <rPh sb="0" eb="2">
      <t>カイケイ</t>
    </rPh>
    <rPh sb="2" eb="4">
      <t>リエキ</t>
    </rPh>
    <phoneticPr fontId="4"/>
  </si>
  <si>
    <t>NPV①＋②</t>
    <phoneticPr fontId="4"/>
  </si>
  <si>
    <t>うち税額</t>
    <rPh sb="2" eb="4">
      <t>ゼイガク</t>
    </rPh>
    <phoneticPr fontId="4"/>
  </si>
  <si>
    <t>うち税引後利益</t>
    <rPh sb="2" eb="4">
      <t>ゼイビ</t>
    </rPh>
    <rPh sb="4" eb="5">
      <t>ゴ</t>
    </rPh>
    <rPh sb="5" eb="7">
      <t>リエキ</t>
    </rPh>
    <phoneticPr fontId="4"/>
  </si>
  <si>
    <t>問2</t>
    <rPh sb="0" eb="1">
      <t>トイ</t>
    </rPh>
    <phoneticPr fontId="4"/>
  </si>
  <si>
    <t>NPV=0となるようなCIFを逆算で求める。</t>
    <rPh sb="15" eb="17">
      <t>ギャクサン</t>
    </rPh>
    <rPh sb="18" eb="19">
      <t>モト</t>
    </rPh>
    <phoneticPr fontId="4"/>
  </si>
  <si>
    <t>2000S</t>
    <phoneticPr fontId="4"/>
  </si>
  <si>
    <t>CF</t>
    <phoneticPr fontId="4"/>
  </si>
  <si>
    <t>800S</t>
    <phoneticPr fontId="4"/>
  </si>
  <si>
    <t>修正後固定費</t>
    <rPh sb="0" eb="2">
      <t>シュウセイ</t>
    </rPh>
    <rPh sb="2" eb="3">
      <t>ゴ</t>
    </rPh>
    <rPh sb="3" eb="6">
      <t>コテイヒ</t>
    </rPh>
    <phoneticPr fontId="4"/>
  </si>
  <si>
    <t>単位限界利益</t>
    <rPh sb="0" eb="2">
      <t>タンイ</t>
    </rPh>
    <rPh sb="2" eb="4">
      <t>ゲンカイ</t>
    </rPh>
    <rPh sb="4" eb="6">
      <t>リエキ</t>
    </rPh>
    <phoneticPr fontId="4"/>
  </si>
  <si>
    <t>SBEP個数</t>
    <rPh sb="4" eb="6">
      <t>コスウ</t>
    </rPh>
    <phoneticPr fontId="4"/>
  </si>
  <si>
    <t>2限目 例題2</t>
    <rPh sb="1" eb="3">
      <t>ゲンメ</t>
    </rPh>
    <rPh sb="4" eb="6">
      <t>レイダイ</t>
    </rPh>
    <phoneticPr fontId="4"/>
  </si>
  <si>
    <t>・インフレ調整は、診断士試験では問われない。当問はパス。</t>
    <rPh sb="5" eb="7">
      <t>チョウセイ</t>
    </rPh>
    <rPh sb="9" eb="12">
      <t>シンダンシ</t>
    </rPh>
    <rPh sb="12" eb="14">
      <t>シケン</t>
    </rPh>
    <rPh sb="16" eb="17">
      <t>ト</t>
    </rPh>
    <rPh sb="22" eb="23">
      <t>トウ</t>
    </rPh>
    <rPh sb="23" eb="24">
      <t>モン</t>
    </rPh>
    <phoneticPr fontId="4"/>
  </si>
  <si>
    <t>2限目 例題3</t>
    <rPh sb="1" eb="3">
      <t>ゲンメ</t>
    </rPh>
    <rPh sb="4" eb="6">
      <t>レイダイ</t>
    </rPh>
    <phoneticPr fontId="4"/>
  </si>
  <si>
    <t>・当問は、診断士受験者なら全く苦にしない、ファイナンス論点。</t>
    <rPh sb="1" eb="2">
      <t>トウ</t>
    </rPh>
    <rPh sb="2" eb="3">
      <t>モン</t>
    </rPh>
    <rPh sb="5" eb="8">
      <t>シンダンシ</t>
    </rPh>
    <rPh sb="8" eb="11">
      <t>ジュケンシャ</t>
    </rPh>
    <rPh sb="13" eb="14">
      <t>マッタ</t>
    </rPh>
    <rPh sb="15" eb="16">
      <t>ク</t>
    </rPh>
    <rPh sb="27" eb="29">
      <t>ロンテン</t>
    </rPh>
    <phoneticPr fontId="4"/>
  </si>
  <si>
    <t>・問2の社債利回りは簿記の計算問題になってしまうので解かない。問1、問３は1次｢財務｣ならBランクレベルの易問。</t>
    <rPh sb="1" eb="2">
      <t>トイ</t>
    </rPh>
    <rPh sb="4" eb="6">
      <t>シャサイ</t>
    </rPh>
    <rPh sb="6" eb="8">
      <t>リマワ</t>
    </rPh>
    <rPh sb="10" eb="12">
      <t>ボキ</t>
    </rPh>
    <rPh sb="13" eb="15">
      <t>ケイサン</t>
    </rPh>
    <rPh sb="15" eb="17">
      <t>モンダイ</t>
    </rPh>
    <rPh sb="26" eb="27">
      <t>ト</t>
    </rPh>
    <rPh sb="31" eb="32">
      <t>トイ</t>
    </rPh>
    <rPh sb="34" eb="35">
      <t>トイ</t>
    </rPh>
    <rPh sb="38" eb="39">
      <t>ジ</t>
    </rPh>
    <rPh sb="40" eb="42">
      <t>ザイム</t>
    </rPh>
    <rPh sb="53" eb="54">
      <t>エキ</t>
    </rPh>
    <rPh sb="54" eb="55">
      <t>モン</t>
    </rPh>
    <phoneticPr fontId="4"/>
  </si>
  <si>
    <t>問１ 配当割引モデル</t>
    <rPh sb="0" eb="1">
      <t>トイ</t>
    </rPh>
    <rPh sb="3" eb="5">
      <t>ハイトウ</t>
    </rPh>
    <rPh sb="5" eb="7">
      <t>ワリビ</t>
    </rPh>
    <phoneticPr fontId="4"/>
  </si>
  <si>
    <t>配当額</t>
    <rPh sb="0" eb="2">
      <t>ハイトウ</t>
    </rPh>
    <rPh sb="2" eb="3">
      <t>ガク</t>
    </rPh>
    <phoneticPr fontId="4"/>
  </si>
  <si>
    <t>円</t>
    <rPh sb="0" eb="1">
      <t>エン</t>
    </rPh>
    <phoneticPr fontId="4"/>
  </si>
  <si>
    <t>定率成長の配当割引モデル</t>
    <rPh sb="0" eb="2">
      <t>テイリツ</t>
    </rPh>
    <rPh sb="2" eb="4">
      <t>セイチョウ</t>
    </rPh>
    <rPh sb="5" eb="7">
      <t>ハイトウ</t>
    </rPh>
    <rPh sb="7" eb="9">
      <t>ワリビ</t>
    </rPh>
    <phoneticPr fontId="4"/>
  </si>
  <si>
    <t>株価</t>
    <rPh sb="0" eb="2">
      <t>カブカ</t>
    </rPh>
    <phoneticPr fontId="4"/>
  </si>
  <si>
    <r>
      <t>株価V</t>
    </r>
    <r>
      <rPr>
        <sz val="8"/>
        <color theme="1"/>
        <rFont val="游ゴシック"/>
        <family val="3"/>
        <charset val="128"/>
        <scheme val="minor"/>
      </rPr>
      <t>E</t>
    </r>
    <r>
      <rPr>
        <sz val="10"/>
        <color theme="1"/>
        <rFont val="游ゴシック"/>
        <family val="3"/>
        <charset val="128"/>
        <scheme val="minor"/>
      </rPr>
      <t>＝</t>
    </r>
    <rPh sb="0" eb="2">
      <t>カブカ</t>
    </rPh>
    <phoneticPr fontId="4"/>
  </si>
  <si>
    <r>
      <t>配当D</t>
    </r>
    <r>
      <rPr>
        <sz val="6"/>
        <color theme="1"/>
        <rFont val="游ゴシック"/>
        <family val="3"/>
        <charset val="128"/>
        <scheme val="minor"/>
      </rPr>
      <t>1</t>
    </r>
    <rPh sb="0" eb="2">
      <t>ハイトウ</t>
    </rPh>
    <phoneticPr fontId="4"/>
  </si>
  <si>
    <t>成長率</t>
    <rPh sb="0" eb="3">
      <t>セイチョウリツ</t>
    </rPh>
    <phoneticPr fontId="4"/>
  </si>
  <si>
    <r>
      <t>利回りr</t>
    </r>
    <r>
      <rPr>
        <sz val="6"/>
        <color theme="1"/>
        <rFont val="游ゴシック"/>
        <family val="3"/>
        <charset val="128"/>
        <scheme val="minor"/>
      </rPr>
      <t>E</t>
    </r>
    <r>
      <rPr>
        <sz val="10"/>
        <color theme="1"/>
        <rFont val="游ゴシック"/>
        <family val="3"/>
        <charset val="128"/>
        <scheme val="minor"/>
      </rPr>
      <t>－成長率g(%)</t>
    </r>
    <rPh sb="0" eb="2">
      <t>リマワ</t>
    </rPh>
    <rPh sb="6" eb="9">
      <t>セイチョウリツ</t>
    </rPh>
    <phoneticPr fontId="4"/>
  </si>
  <si>
    <t>方程式を解いて、配当利回りを求める</t>
    <rPh sb="0" eb="3">
      <t>ホウテイシキ</t>
    </rPh>
    <rPh sb="4" eb="5">
      <t>ト</t>
    </rPh>
    <rPh sb="8" eb="10">
      <t>ハイトウ</t>
    </rPh>
    <rPh sb="10" eb="12">
      <t>リマワ</t>
    </rPh>
    <rPh sb="14" eb="15">
      <t>モト</t>
    </rPh>
    <phoneticPr fontId="4"/>
  </si>
  <si>
    <r>
      <t>※2017/5/6 r</t>
    </r>
    <r>
      <rPr>
        <sz val="6"/>
        <color rgb="FFFF0000"/>
        <rFont val="游ゴシック"/>
        <family val="3"/>
        <charset val="128"/>
        <scheme val="minor"/>
      </rPr>
      <t>E</t>
    </r>
    <r>
      <rPr>
        <sz val="10"/>
        <color rgb="FFFF0000"/>
        <rFont val="游ゴシック"/>
        <family val="3"/>
        <charset val="128"/>
        <scheme val="minor"/>
      </rPr>
      <t>-gとすべき所を、r</t>
    </r>
    <r>
      <rPr>
        <sz val="6"/>
        <color rgb="FFFF0000"/>
        <rFont val="游ゴシック"/>
        <family val="3"/>
        <charset val="128"/>
        <scheme val="minor"/>
      </rPr>
      <t>E</t>
    </r>
    <r>
      <rPr>
        <sz val="10"/>
        <color rgb="FFFF0000"/>
        <rFont val="游ゴシック"/>
        <family val="3"/>
        <charset val="128"/>
        <scheme val="minor"/>
      </rPr>
      <t>+gと表記していたので、修正しました。</t>
    </r>
    <rPh sb="18" eb="19">
      <t>トコロ</t>
    </rPh>
    <rPh sb="26" eb="28">
      <t>ヒョウキ</t>
    </rPh>
    <rPh sb="35" eb="37">
      <t>シュウセイ</t>
    </rPh>
    <phoneticPr fontId="4"/>
  </si>
  <si>
    <t>利回り</t>
    <rPh sb="0" eb="2">
      <t>リマワ</t>
    </rPh>
    <phoneticPr fontId="4"/>
  </si>
  <si>
    <t>社債の計算問題は問われない。ここでは答えから、4.3%と置く。</t>
    <rPh sb="0" eb="2">
      <t>シャサイ</t>
    </rPh>
    <rPh sb="3" eb="5">
      <t>ケイサン</t>
    </rPh>
    <rPh sb="5" eb="7">
      <t>モンダイ</t>
    </rPh>
    <rPh sb="8" eb="9">
      <t>ト</t>
    </rPh>
    <rPh sb="18" eb="19">
      <t>コタ</t>
    </rPh>
    <rPh sb="28" eb="29">
      <t>オ</t>
    </rPh>
    <phoneticPr fontId="4"/>
  </si>
  <si>
    <t>問3</t>
    <rPh sb="0" eb="1">
      <t>トイ</t>
    </rPh>
    <phoneticPr fontId="4"/>
  </si>
  <si>
    <t>WACCの計算</t>
    <rPh sb="5" eb="7">
      <t>ケイサン</t>
    </rPh>
    <phoneticPr fontId="4"/>
  </si>
  <si>
    <t>資本コスト</t>
    <rPh sb="0" eb="2">
      <t>シホン</t>
    </rPh>
    <phoneticPr fontId="4"/>
  </si>
  <si>
    <t>これを加重平均する</t>
    <rPh sb="3" eb="5">
      <t>カジュウ</t>
    </rPh>
    <rPh sb="5" eb="7">
      <t>ヘイキン</t>
    </rPh>
    <phoneticPr fontId="4"/>
  </si>
  <si>
    <t>社債</t>
    <rPh sb="0" eb="2">
      <t>シャサイ</t>
    </rPh>
    <phoneticPr fontId="4"/>
  </si>
  <si>
    <t>株式</t>
    <rPh sb="0" eb="2">
      <t>カブシキ</t>
    </rPh>
    <phoneticPr fontId="4"/>
  </si>
  <si>
    <t>3限目 問題1</t>
    <rPh sb="1" eb="3">
      <t>ゲンメ</t>
    </rPh>
    <rPh sb="4" eb="6">
      <t>モンダイ</t>
    </rPh>
    <phoneticPr fontId="4"/>
  </si>
  <si>
    <t>・問1は、例題１の問１と全く同じ構成。NPVの問題は、一度計算パターン掴んでおければそれを使いまわすだけと実感できる。</t>
    <rPh sb="1" eb="2">
      <t>トイ</t>
    </rPh>
    <rPh sb="5" eb="7">
      <t>レイダイ</t>
    </rPh>
    <rPh sb="9" eb="10">
      <t>トイ</t>
    </rPh>
    <rPh sb="12" eb="13">
      <t>マッタ</t>
    </rPh>
    <rPh sb="14" eb="15">
      <t>オナ</t>
    </rPh>
    <rPh sb="16" eb="18">
      <t>コウセイ</t>
    </rPh>
    <rPh sb="23" eb="25">
      <t>モンダイ</t>
    </rPh>
    <rPh sb="27" eb="29">
      <t>イチド</t>
    </rPh>
    <rPh sb="29" eb="31">
      <t>ケイサン</t>
    </rPh>
    <rPh sb="35" eb="36">
      <t>ツカ</t>
    </rPh>
    <rPh sb="45" eb="46">
      <t>ツカ</t>
    </rPh>
    <rPh sb="53" eb="55">
      <t>ジッカン</t>
    </rPh>
    <phoneticPr fontId="4"/>
  </si>
  <si>
    <t>・問2～4は、NPV=0にしたり、条件変化でNPVがどう動くかを見せる問題。実際に手計算すると煩雑だが、エクセルなら一瞬。</t>
    <rPh sb="1" eb="2">
      <t>トイ</t>
    </rPh>
    <rPh sb="17" eb="19">
      <t>ジョウケン</t>
    </rPh>
    <rPh sb="19" eb="21">
      <t>ヘンカ</t>
    </rPh>
    <rPh sb="28" eb="29">
      <t>ウゴ</t>
    </rPh>
    <rPh sb="32" eb="33">
      <t>ミ</t>
    </rPh>
    <rPh sb="35" eb="37">
      <t>モンダイ</t>
    </rPh>
    <rPh sb="38" eb="40">
      <t>ジッサイ</t>
    </rPh>
    <rPh sb="41" eb="42">
      <t>テ</t>
    </rPh>
    <rPh sb="42" eb="44">
      <t>ケイサン</t>
    </rPh>
    <rPh sb="47" eb="49">
      <t>ハンザツ</t>
    </rPh>
    <rPh sb="58" eb="60">
      <t>イッシュン</t>
    </rPh>
    <phoneticPr fontId="4"/>
  </si>
  <si>
    <t>問１ NPVの計算。例題1 問1のエクセル式をほぼそのままコピーで使える。</t>
    <rPh sb="0" eb="1">
      <t>トイ</t>
    </rPh>
    <rPh sb="7" eb="9">
      <t>ケイサン</t>
    </rPh>
    <rPh sb="10" eb="12">
      <t>レイダイ</t>
    </rPh>
    <rPh sb="14" eb="15">
      <t>トイ</t>
    </rPh>
    <rPh sb="21" eb="22">
      <t>シキ</t>
    </rPh>
    <rPh sb="33" eb="34">
      <t>ツカ</t>
    </rPh>
    <phoneticPr fontId="4"/>
  </si>
  <si>
    <t>※TSは生じない</t>
    <rPh sb="4" eb="5">
      <t>ショウ</t>
    </rPh>
    <phoneticPr fontId="4"/>
  </si>
  <si>
    <t>収益①</t>
    <rPh sb="0" eb="2">
      <t>シュウエキ</t>
    </rPh>
    <phoneticPr fontId="4"/>
  </si>
  <si>
    <t>問2 NPV＝0になるような、価格または固定費の感度分析</t>
    <rPh sb="0" eb="1">
      <t>トイ</t>
    </rPh>
    <rPh sb="15" eb="17">
      <t>カカク</t>
    </rPh>
    <rPh sb="20" eb="23">
      <t>コテイヒ</t>
    </rPh>
    <rPh sb="24" eb="26">
      <t>カンド</t>
    </rPh>
    <rPh sb="26" eb="28">
      <t>ブンセキ</t>
    </rPh>
    <phoneticPr fontId="4"/>
  </si>
  <si>
    <t>税引後CIF</t>
    <rPh sb="0" eb="2">
      <t>ゼイビキ</t>
    </rPh>
    <rPh sb="2" eb="3">
      <t>ゴ</t>
    </rPh>
    <phoneticPr fontId="4"/>
  </si>
  <si>
    <t>差額CF</t>
    <rPh sb="0" eb="2">
      <t>サガク</t>
    </rPh>
    <phoneticPr fontId="4"/>
  </si>
  <si>
    <t>税引後CIFの減少許容額</t>
    <rPh sb="0" eb="2">
      <t>ゼイビキ</t>
    </rPh>
    <rPh sb="2" eb="3">
      <t>ゴ</t>
    </rPh>
    <rPh sb="7" eb="9">
      <t>ゲンショウ</t>
    </rPh>
    <rPh sb="9" eb="11">
      <t>キョヨウ</t>
    </rPh>
    <rPh sb="11" eb="12">
      <t>ガク</t>
    </rPh>
    <phoneticPr fontId="4"/>
  </si>
  <si>
    <t>最低必要な販売単価</t>
    <rPh sb="0" eb="2">
      <t>サイテイ</t>
    </rPh>
    <rPh sb="2" eb="4">
      <t>ヒツヨウ</t>
    </rPh>
    <rPh sb="5" eb="7">
      <t>ハンバイ</t>
    </rPh>
    <rPh sb="7" eb="9">
      <t>タンカ</t>
    </rPh>
    <phoneticPr fontId="4"/>
  </si>
  <si>
    <t>収益②</t>
    <rPh sb="0" eb="2">
      <t>シュウエキ</t>
    </rPh>
    <phoneticPr fontId="4"/>
  </si>
  <si>
    <t>許容できる業務費用</t>
    <rPh sb="0" eb="2">
      <t>キョヨウ</t>
    </rPh>
    <rPh sb="5" eb="7">
      <t>ギョウム</t>
    </rPh>
    <rPh sb="7" eb="9">
      <t>ヒヨウ</t>
    </rPh>
    <phoneticPr fontId="4"/>
  </si>
  <si>
    <t>←現在の固定費30,000,000に、収益①⇔②の差額までは増えて良い。</t>
    <rPh sb="1" eb="3">
      <t>ゲンザイ</t>
    </rPh>
    <rPh sb="4" eb="7">
      <t>コテイヒ</t>
    </rPh>
    <rPh sb="19" eb="21">
      <t>シュウエキ</t>
    </rPh>
    <rPh sb="25" eb="27">
      <t>サガク</t>
    </rPh>
    <rPh sb="30" eb="31">
      <t>フ</t>
    </rPh>
    <rPh sb="33" eb="34">
      <t>ヨ</t>
    </rPh>
    <phoneticPr fontId="4"/>
  </si>
  <si>
    <t>感度分析・・問１のエクセルの条件を打ち変え、C18セルの値を読み取ればOK</t>
    <rPh sb="0" eb="2">
      <t>カンド</t>
    </rPh>
    <rPh sb="2" eb="4">
      <t>ブンセキ</t>
    </rPh>
    <rPh sb="6" eb="7">
      <t>トイ</t>
    </rPh>
    <rPh sb="14" eb="16">
      <t>ジョウケン</t>
    </rPh>
    <rPh sb="17" eb="18">
      <t>ウ</t>
    </rPh>
    <rPh sb="19" eb="20">
      <t>カ</t>
    </rPh>
    <rPh sb="28" eb="29">
      <t>アタイ</t>
    </rPh>
    <rPh sb="30" eb="31">
      <t>ヨ</t>
    </rPh>
    <rPh sb="32" eb="33">
      <t>ト</t>
    </rPh>
    <phoneticPr fontId="4"/>
  </si>
  <si>
    <t>NPV</t>
    <phoneticPr fontId="4"/>
  </si>
  <si>
    <t>増減</t>
    <rPh sb="0" eb="2">
      <t>ゾウゲン</t>
    </rPh>
    <phoneticPr fontId="4"/>
  </si>
  <si>
    <t>(1)販売価格を下げ、個数が増える</t>
    <rPh sb="3" eb="5">
      <t>ハンバイ</t>
    </rPh>
    <rPh sb="5" eb="7">
      <t>カカク</t>
    </rPh>
    <rPh sb="8" eb="9">
      <t>サ</t>
    </rPh>
    <rPh sb="11" eb="13">
      <t>コスウ</t>
    </rPh>
    <rPh sb="14" eb="15">
      <t>フ</t>
    </rPh>
    <phoneticPr fontId="4"/>
  </si>
  <si>
    <t>(2)業務費用が10%減る</t>
    <rPh sb="3" eb="5">
      <t>ギョウム</t>
    </rPh>
    <rPh sb="5" eb="7">
      <t>ヒヨウ</t>
    </rPh>
    <rPh sb="11" eb="12">
      <t>ヘ</t>
    </rPh>
    <phoneticPr fontId="4"/>
  </si>
  <si>
    <t>(3)税率が50%に増える</t>
    <rPh sb="3" eb="5">
      <t>ゼイリツ</t>
    </rPh>
    <rPh sb="10" eb="11">
      <t>フ</t>
    </rPh>
    <phoneticPr fontId="4"/>
  </si>
  <si>
    <t>問4</t>
    <rPh sb="0" eb="1">
      <t>トイ</t>
    </rPh>
    <phoneticPr fontId="4"/>
  </si>
  <si>
    <t>販売量</t>
    <rPh sb="0" eb="2">
      <t>ハンバイ</t>
    </rPh>
    <rPh sb="2" eb="3">
      <t>リョウ</t>
    </rPh>
    <phoneticPr fontId="4"/>
  </si>
  <si>
    <t>業務費用</t>
    <rPh sb="0" eb="2">
      <t>ギョウム</t>
    </rPh>
    <rPh sb="2" eb="4">
      <t>ヒヨウ</t>
    </rPh>
    <phoneticPr fontId="4"/>
  </si>
  <si>
    <t>最大</t>
    <rPh sb="0" eb="2">
      <t>サイダイ</t>
    </rPh>
    <phoneticPr fontId="4"/>
  </si>
  <si>
    <t>←この時、NPVが最大</t>
    <rPh sb="3" eb="4">
      <t>トキ</t>
    </rPh>
    <rPh sb="9" eb="11">
      <t>サイダイ</t>
    </rPh>
    <phoneticPr fontId="4"/>
  </si>
  <si>
    <t>最小</t>
    <rPh sb="0" eb="2">
      <t>サイショウ</t>
    </rPh>
    <phoneticPr fontId="4"/>
  </si>
  <si>
    <t>←この時、NPVが最小</t>
    <rPh sb="3" eb="4">
      <t>トキ</t>
    </rPh>
    <rPh sb="9" eb="11">
      <t>サイショウ</t>
    </rPh>
    <phoneticPr fontId="4"/>
  </si>
  <si>
    <t>差</t>
    <rPh sb="0" eb="1">
      <t>サ</t>
    </rPh>
    <phoneticPr fontId="4"/>
  </si>
  <si>
    <t>3限目 問題3</t>
    <rPh sb="1" eb="3">
      <t>ゲンメ</t>
    </rPh>
    <rPh sb="4" eb="6">
      <t>モンダイ</t>
    </rPh>
    <phoneticPr fontId="4"/>
  </si>
  <si>
    <t>・問1～ 4  は、Lecture2 CVP分析の問題。</t>
    <rPh sb="1" eb="2">
      <t>トイ</t>
    </rPh>
    <rPh sb="22" eb="24">
      <t>ブンセキ</t>
    </rPh>
    <rPh sb="25" eb="27">
      <t>モンダイ</t>
    </rPh>
    <phoneticPr fontId="4"/>
  </si>
  <si>
    <t>・問5、問6は業績評価基準としての会計的投資利益率⇔EVAを比較させる問題。Lecture4の復習として解き、このあと4を解き直すと相乗効果でパワーアップ。</t>
    <rPh sb="1" eb="2">
      <t>トイ</t>
    </rPh>
    <rPh sb="4" eb="5">
      <t>トイ</t>
    </rPh>
    <rPh sb="7" eb="9">
      <t>ギョウセキ</t>
    </rPh>
    <rPh sb="9" eb="11">
      <t>ヒョウカ</t>
    </rPh>
    <rPh sb="11" eb="13">
      <t>キジュン</t>
    </rPh>
    <rPh sb="17" eb="20">
      <t>カイケイテキ</t>
    </rPh>
    <rPh sb="20" eb="22">
      <t>トウシ</t>
    </rPh>
    <rPh sb="22" eb="24">
      <t>リエキ</t>
    </rPh>
    <rPh sb="24" eb="25">
      <t>リツ</t>
    </rPh>
    <rPh sb="30" eb="32">
      <t>ヒカク</t>
    </rPh>
    <rPh sb="35" eb="37">
      <t>モンダイ</t>
    </rPh>
    <rPh sb="47" eb="49">
      <t>フクシュウ</t>
    </rPh>
    <rPh sb="52" eb="53">
      <t>ト</t>
    </rPh>
    <rPh sb="61" eb="62">
      <t>ト</t>
    </rPh>
    <rPh sb="63" eb="64">
      <t>ナオ</t>
    </rPh>
    <rPh sb="66" eb="68">
      <t>ソウジョウ</t>
    </rPh>
    <rPh sb="68" eb="70">
      <t>コウカ</t>
    </rPh>
    <phoneticPr fontId="4"/>
  </si>
  <si>
    <t>問1 固変分解</t>
    <rPh sb="0" eb="1">
      <t>トイ</t>
    </rPh>
    <rPh sb="3" eb="4">
      <t>コ</t>
    </rPh>
    <rPh sb="4" eb="5">
      <t>ヘン</t>
    </rPh>
    <rPh sb="5" eb="7">
      <t>ブンカイ</t>
    </rPh>
    <phoneticPr fontId="4"/>
  </si>
  <si>
    <t>製造量</t>
    <rPh sb="0" eb="2">
      <t>セイゾウ</t>
    </rPh>
    <rPh sb="2" eb="3">
      <t>リョウ</t>
    </rPh>
    <phoneticPr fontId="4"/>
  </si>
  <si>
    <t>発生原価</t>
    <rPh sb="0" eb="2">
      <t>ハッセイ</t>
    </rPh>
    <rPh sb="2" eb="4">
      <t>ゲンカ</t>
    </rPh>
    <phoneticPr fontId="4"/>
  </si>
  <si>
    <t>y=</t>
    <phoneticPr fontId="4"/>
  </si>
  <si>
    <t>x</t>
    <phoneticPr fontId="4"/>
  </si>
  <si>
    <t>販売単価</t>
    <rPh sb="0" eb="2">
      <t>ハンバイ</t>
    </rPh>
    <rPh sb="2" eb="4">
      <t>タンカ</t>
    </rPh>
    <phoneticPr fontId="4"/>
  </si>
  <si>
    <t>限界利益</t>
    <rPh sb="0" eb="2">
      <t>ゲンカイ</t>
    </rPh>
    <rPh sb="2" eb="4">
      <t>リエキ</t>
    </rPh>
    <phoneticPr fontId="4"/>
  </si>
  <si>
    <t>限界利益率</t>
    <rPh sb="0" eb="2">
      <t>ゲンカイ</t>
    </rPh>
    <rPh sb="2" eb="4">
      <t>リエキ</t>
    </rPh>
    <rPh sb="4" eb="5">
      <t>リツ</t>
    </rPh>
    <phoneticPr fontId="4"/>
  </si>
  <si>
    <t>SBEP</t>
    <phoneticPr fontId="4"/>
  </si>
  <si>
    <t>枚</t>
    <rPh sb="0" eb="1">
      <t>マイ</t>
    </rPh>
    <phoneticPr fontId="4"/>
  </si>
  <si>
    <t>月間</t>
    <rPh sb="0" eb="2">
      <t>ゲッカン</t>
    </rPh>
    <phoneticPr fontId="4"/>
  </si>
  <si>
    <t>※問4 利益率18%の場合</t>
    <rPh sb="1" eb="2">
      <t>トイ</t>
    </rPh>
    <rPh sb="4" eb="6">
      <t>リエキ</t>
    </rPh>
    <rPh sb="6" eb="7">
      <t>リツ</t>
    </rPh>
    <rPh sb="11" eb="13">
      <t>バアイ</t>
    </rPh>
    <phoneticPr fontId="4"/>
  </si>
  <si>
    <t>投資額</t>
    <rPh sb="0" eb="2">
      <t>トウシ</t>
    </rPh>
    <rPh sb="2" eb="3">
      <t>ガク</t>
    </rPh>
    <phoneticPr fontId="4"/>
  </si>
  <si>
    <t>枚数</t>
    <rPh sb="0" eb="2">
      <t>マイスウ</t>
    </rPh>
    <phoneticPr fontId="4"/>
  </si>
  <si>
    <t>売上高</t>
    <rPh sb="0" eb="2">
      <t>ウリアゲ</t>
    </rPh>
    <rPh sb="2" eb="3">
      <t>ダカ</t>
    </rPh>
    <phoneticPr fontId="4"/>
  </si>
  <si>
    <t>会計的投資利益率</t>
    <rPh sb="0" eb="3">
      <t>カイケイテキ</t>
    </rPh>
    <rPh sb="3" eb="5">
      <t>トウシ</t>
    </rPh>
    <rPh sb="5" eb="7">
      <t>リエキ</t>
    </rPh>
    <rPh sb="7" eb="8">
      <t>リツ</t>
    </rPh>
    <phoneticPr fontId="4"/>
  </si>
  <si>
    <t>税前利益</t>
    <rPh sb="0" eb="1">
      <t>ゼイ</t>
    </rPh>
    <rPh sb="1" eb="2">
      <t>マエ</t>
    </rPh>
    <rPh sb="2" eb="4">
      <t>リエキ</t>
    </rPh>
    <phoneticPr fontId="4"/>
  </si>
  <si>
    <t>税引後利益</t>
    <rPh sb="0" eb="2">
      <t>ゼイビキ</t>
    </rPh>
    <rPh sb="2" eb="3">
      <t>ゴ</t>
    </rPh>
    <rPh sb="3" eb="5">
      <t>リエキ</t>
    </rPh>
    <phoneticPr fontId="4"/>
  </si>
  <si>
    <t>←この目標利益が決め、問1～3の結果を使い、ＣＶＰ分析すれば良い。</t>
    <rPh sb="3" eb="5">
      <t>モクヒョウ</t>
    </rPh>
    <rPh sb="5" eb="7">
      <t>リエキ</t>
    </rPh>
    <rPh sb="8" eb="9">
      <t>キ</t>
    </rPh>
    <rPh sb="11" eb="12">
      <t>トイ</t>
    </rPh>
    <rPh sb="16" eb="18">
      <t>ケッカ</t>
    </rPh>
    <rPh sb="19" eb="20">
      <t>ツカ</t>
    </rPh>
    <rPh sb="25" eb="27">
      <t>ブンセキ</t>
    </rPh>
    <rPh sb="30" eb="31">
      <t>ヨ</t>
    </rPh>
    <phoneticPr fontId="4"/>
  </si>
  <si>
    <t>必要な販売量</t>
    <rPh sb="0" eb="2">
      <t>ヒツヨウ</t>
    </rPh>
    <rPh sb="3" eb="5">
      <t>ハンバイ</t>
    </rPh>
    <rPh sb="5" eb="6">
      <t>リョウ</t>
    </rPh>
    <phoneticPr fontId="4"/>
  </si>
  <si>
    <t>↑この関数を自分で書くことで、どの条件を使ってCVP計算すべきかを体得できる。</t>
    <rPh sb="3" eb="5">
      <t>カンスウ</t>
    </rPh>
    <rPh sb="6" eb="8">
      <t>ジブン</t>
    </rPh>
    <rPh sb="9" eb="10">
      <t>カ</t>
    </rPh>
    <rPh sb="17" eb="19">
      <t>ジョウケン</t>
    </rPh>
    <rPh sb="20" eb="21">
      <t>ツカ</t>
    </rPh>
    <rPh sb="26" eb="28">
      <t>ケイサン</t>
    </rPh>
    <rPh sb="33" eb="35">
      <t>タイトク</t>
    </rPh>
    <phoneticPr fontId="4"/>
  </si>
  <si>
    <t>問5</t>
    <rPh sb="0" eb="1">
      <t>トイ</t>
    </rPh>
    <phoneticPr fontId="4"/>
  </si>
  <si>
    <t>池袋店</t>
    <rPh sb="0" eb="3">
      <t>イケブクロテン</t>
    </rPh>
    <phoneticPr fontId="4"/>
  </si>
  <si>
    <t>上野店</t>
    <rPh sb="0" eb="2">
      <t>ウエノ</t>
    </rPh>
    <rPh sb="2" eb="3">
      <t>テン</t>
    </rPh>
    <phoneticPr fontId="4"/>
  </si>
  <si>
    <t>投資導入前</t>
    <rPh sb="0" eb="2">
      <t>トウシ</t>
    </rPh>
    <rPh sb="2" eb="4">
      <t>ドウニュウ</t>
    </rPh>
    <rPh sb="4" eb="5">
      <t>マエ</t>
    </rPh>
    <phoneticPr fontId="4"/>
  </si>
  <si>
    <t>投資導入後</t>
    <rPh sb="0" eb="2">
      <t>トウシ</t>
    </rPh>
    <rPh sb="2" eb="4">
      <t>ドウニュウ</t>
    </rPh>
    <rPh sb="4" eb="5">
      <t>ゴ</t>
    </rPh>
    <phoneticPr fontId="4"/>
  </si>
  <si>
    <t>↑導入前の投資額、利益に、問3で求めたピザ設備の投資額、利益を足す。</t>
    <rPh sb="1" eb="3">
      <t>ドウニュウ</t>
    </rPh>
    <rPh sb="3" eb="4">
      <t>マエ</t>
    </rPh>
    <rPh sb="5" eb="7">
      <t>トウシ</t>
    </rPh>
    <rPh sb="7" eb="8">
      <t>ガク</t>
    </rPh>
    <rPh sb="9" eb="11">
      <t>リエキ</t>
    </rPh>
    <rPh sb="13" eb="14">
      <t>トイ</t>
    </rPh>
    <rPh sb="16" eb="17">
      <t>モト</t>
    </rPh>
    <rPh sb="21" eb="23">
      <t>セツビ</t>
    </rPh>
    <rPh sb="24" eb="26">
      <t>トウシ</t>
    </rPh>
    <rPh sb="26" eb="27">
      <t>ガク</t>
    </rPh>
    <rPh sb="28" eb="30">
      <t>リエキ</t>
    </rPh>
    <rPh sb="31" eb="32">
      <t>タ</t>
    </rPh>
    <phoneticPr fontId="4"/>
  </si>
  <si>
    <t>問6</t>
    <rPh sb="0" eb="1">
      <t>トイ</t>
    </rPh>
    <phoneticPr fontId="4"/>
  </si>
  <si>
    <t>会話形式の穴埋め問題は記憶効果が高い。イケカコLecture4の知識を使えば、自力で計算できる。</t>
    <rPh sb="0" eb="2">
      <t>カイワ</t>
    </rPh>
    <rPh sb="2" eb="4">
      <t>ケイシキ</t>
    </rPh>
    <rPh sb="5" eb="7">
      <t>アナウ</t>
    </rPh>
    <rPh sb="8" eb="10">
      <t>モンダイ</t>
    </rPh>
    <rPh sb="11" eb="13">
      <t>キオク</t>
    </rPh>
    <rPh sb="13" eb="15">
      <t>コウカ</t>
    </rPh>
    <rPh sb="16" eb="17">
      <t>タカ</t>
    </rPh>
    <rPh sb="32" eb="34">
      <t>チシキ</t>
    </rPh>
    <rPh sb="35" eb="36">
      <t>ツカ</t>
    </rPh>
    <rPh sb="39" eb="41">
      <t>ジリキ</t>
    </rPh>
    <rPh sb="42" eb="44">
      <t>ケイサン</t>
    </rPh>
    <phoneticPr fontId="4"/>
  </si>
  <si>
    <t>当問は、会計利益率が下がることを理由に嫌がる上野店長に、ピザ投資案を受け入れさせるためにEVAをどう使うか、のストーリー仕立てにすると覚えやすい。</t>
    <rPh sb="0" eb="1">
      <t>トウ</t>
    </rPh>
    <rPh sb="1" eb="2">
      <t>モン</t>
    </rPh>
    <rPh sb="4" eb="6">
      <t>カイケイ</t>
    </rPh>
    <rPh sb="6" eb="8">
      <t>リエキ</t>
    </rPh>
    <rPh sb="8" eb="9">
      <t>リツ</t>
    </rPh>
    <rPh sb="10" eb="11">
      <t>サ</t>
    </rPh>
    <rPh sb="16" eb="18">
      <t>リユウ</t>
    </rPh>
    <rPh sb="19" eb="20">
      <t>イヤ</t>
    </rPh>
    <rPh sb="22" eb="24">
      <t>ウエノ</t>
    </rPh>
    <rPh sb="24" eb="26">
      <t>テンチョウ</t>
    </rPh>
    <rPh sb="30" eb="32">
      <t>トウシ</t>
    </rPh>
    <rPh sb="32" eb="33">
      <t>アン</t>
    </rPh>
    <rPh sb="34" eb="35">
      <t>ウ</t>
    </rPh>
    <rPh sb="36" eb="37">
      <t>イ</t>
    </rPh>
    <rPh sb="50" eb="51">
      <t>ツカ</t>
    </rPh>
    <rPh sb="60" eb="62">
      <t>シタ</t>
    </rPh>
    <rPh sb="67" eb="68">
      <t>オボ</t>
    </rPh>
    <phoneticPr fontId="4"/>
  </si>
  <si>
    <t>①池袋店の投資利益率</t>
    <rPh sb="1" eb="4">
      <t>イケブクロテン</t>
    </rPh>
    <rPh sb="5" eb="7">
      <t>トウシ</t>
    </rPh>
    <rPh sb="7" eb="9">
      <t>リエキ</t>
    </rPh>
    <rPh sb="9" eb="10">
      <t>リツ</t>
    </rPh>
    <phoneticPr fontId="4"/>
  </si>
  <si>
    <t>増加</t>
    <rPh sb="0" eb="2">
      <t>ゾウカ</t>
    </rPh>
    <phoneticPr fontId="4"/>
  </si>
  <si>
    <t>←問5より</t>
    <rPh sb="1" eb="2">
      <t>トイ</t>
    </rPh>
    <phoneticPr fontId="4"/>
  </si>
  <si>
    <t>②上野店の投資利益率</t>
    <rPh sb="1" eb="4">
      <t>ウエノテン</t>
    </rPh>
    <rPh sb="5" eb="7">
      <t>トウシ</t>
    </rPh>
    <rPh sb="7" eb="9">
      <t>リエキ</t>
    </rPh>
    <rPh sb="9" eb="10">
      <t>リツ</t>
    </rPh>
    <phoneticPr fontId="4"/>
  </si>
  <si>
    <t>減少</t>
    <rPh sb="0" eb="2">
      <t>ゲンショウ</t>
    </rPh>
    <phoneticPr fontId="4"/>
  </si>
  <si>
    <t>③池袋店長は投資案を</t>
    <rPh sb="1" eb="4">
      <t>イケブクロテン</t>
    </rPh>
    <rPh sb="4" eb="5">
      <t>チョウ</t>
    </rPh>
    <rPh sb="6" eb="8">
      <t>トウシ</t>
    </rPh>
    <rPh sb="8" eb="9">
      <t>アン</t>
    </rPh>
    <phoneticPr fontId="4"/>
  </si>
  <si>
    <t>採用する</t>
    <rPh sb="0" eb="2">
      <t>サイヨウ</t>
    </rPh>
    <phoneticPr fontId="4"/>
  </si>
  <si>
    <t>負債</t>
    <rPh sb="0" eb="2">
      <t>フサイ</t>
    </rPh>
    <phoneticPr fontId="4"/>
  </si>
  <si>
    <t>④上野店長は投資案を</t>
    <rPh sb="1" eb="3">
      <t>ウエノ</t>
    </rPh>
    <rPh sb="3" eb="5">
      <t>テンチョウ</t>
    </rPh>
    <rPh sb="6" eb="8">
      <t>トウシ</t>
    </rPh>
    <rPh sb="8" eb="9">
      <t>アン</t>
    </rPh>
    <phoneticPr fontId="4"/>
  </si>
  <si>
    <t>採用しない</t>
    <rPh sb="0" eb="2">
      <t>サイヨウ</t>
    </rPh>
    <phoneticPr fontId="4"/>
  </si>
  <si>
    <t>⑤投資案は全社的に見れば</t>
    <rPh sb="1" eb="3">
      <t>トウシ</t>
    </rPh>
    <rPh sb="3" eb="4">
      <t>アン</t>
    </rPh>
    <rPh sb="5" eb="8">
      <t>ゼンシャテキ</t>
    </rPh>
    <rPh sb="9" eb="10">
      <t>ミ</t>
    </rPh>
    <phoneticPr fontId="4"/>
  </si>
  <si>
    <t>有利</t>
    <rPh sb="0" eb="2">
      <t>ユウリ</t>
    </rPh>
    <phoneticPr fontId="4"/>
  </si>
  <si>
    <t>←問3より</t>
    <rPh sb="1" eb="2">
      <t>トイ</t>
    </rPh>
    <phoneticPr fontId="4"/>
  </si>
  <si>
    <t>資本</t>
    <rPh sb="0" eb="2">
      <t>シホン</t>
    </rPh>
    <phoneticPr fontId="4"/>
  </si>
  <si>
    <t>⑥WACC</t>
    <phoneticPr fontId="4"/>
  </si>
  <si>
    <t>※右図参照</t>
    <rPh sb="1" eb="2">
      <t>ミギ</t>
    </rPh>
    <rPh sb="2" eb="3">
      <t>ズ</t>
    </rPh>
    <rPh sb="3" eb="5">
      <t>サンショウ</t>
    </rPh>
    <phoneticPr fontId="4"/>
  </si>
  <si>
    <t>⑦池袋店の資金使用資産総額</t>
    <rPh sb="1" eb="4">
      <t>イケブクロテン</t>
    </rPh>
    <rPh sb="5" eb="7">
      <t>シキン</t>
    </rPh>
    <rPh sb="7" eb="9">
      <t>シヨウ</t>
    </rPh>
    <rPh sb="9" eb="11">
      <t>シサン</t>
    </rPh>
    <rPh sb="11" eb="13">
      <t>ソウガク</t>
    </rPh>
    <phoneticPr fontId="4"/>
  </si>
  <si>
    <t>※右下図参照。単位を円に揃えておく</t>
    <rPh sb="1" eb="2">
      <t>ミギ</t>
    </rPh>
    <rPh sb="2" eb="4">
      <t>シタズ</t>
    </rPh>
    <rPh sb="4" eb="6">
      <t>サンショウ</t>
    </rPh>
    <rPh sb="7" eb="9">
      <t>タンイ</t>
    </rPh>
    <rPh sb="10" eb="11">
      <t>エン</t>
    </rPh>
    <rPh sb="12" eb="13">
      <t>ソロ</t>
    </rPh>
    <phoneticPr fontId="4"/>
  </si>
  <si>
    <t>⑧〃 EVA</t>
    <phoneticPr fontId="4"/>
  </si>
  <si>
    <t>←計算していないが、投資前よりプラス</t>
    <rPh sb="1" eb="3">
      <t>ケイサン</t>
    </rPh>
    <rPh sb="10" eb="12">
      <t>トウシ</t>
    </rPh>
    <rPh sb="12" eb="13">
      <t>マエ</t>
    </rPh>
    <phoneticPr fontId="4"/>
  </si>
  <si>
    <t>WACC</t>
    <phoneticPr fontId="4"/>
  </si>
  <si>
    <t>⑨上野店の資金使用資産総額</t>
    <rPh sb="1" eb="4">
      <t>ウエノテン</t>
    </rPh>
    <rPh sb="5" eb="7">
      <t>シキン</t>
    </rPh>
    <rPh sb="7" eb="9">
      <t>シヨウ</t>
    </rPh>
    <rPh sb="9" eb="11">
      <t>シサン</t>
    </rPh>
    <rPh sb="11" eb="13">
      <t>ソウガク</t>
    </rPh>
    <phoneticPr fontId="4"/>
  </si>
  <si>
    <t>⑩〃 EVA</t>
    <phoneticPr fontId="4"/>
  </si>
  <si>
    <t>資金使用総資産額の計算   単位：万円</t>
    <rPh sb="0" eb="2">
      <t>シキン</t>
    </rPh>
    <rPh sb="2" eb="4">
      <t>シヨウ</t>
    </rPh>
    <rPh sb="4" eb="7">
      <t>ソウシサン</t>
    </rPh>
    <rPh sb="7" eb="8">
      <t>ガク</t>
    </rPh>
    <rPh sb="9" eb="11">
      <t>ケイサン</t>
    </rPh>
    <rPh sb="14" eb="16">
      <t>タンイ</t>
    </rPh>
    <rPh sb="17" eb="19">
      <t>マンエン</t>
    </rPh>
    <phoneticPr fontId="4"/>
  </si>
  <si>
    <t>上野店</t>
    <rPh sb="0" eb="3">
      <t>ウエノテン</t>
    </rPh>
    <phoneticPr fontId="4"/>
  </si>
  <si>
    <t>ピザ投資案</t>
    <rPh sb="2" eb="4">
      <t>トウシ</t>
    </rPh>
    <rPh sb="4" eb="5">
      <t>アン</t>
    </rPh>
    <phoneticPr fontId="4"/>
  </si>
  <si>
    <t>①資産</t>
    <rPh sb="1" eb="3">
      <t>シサン</t>
    </rPh>
    <phoneticPr fontId="4"/>
  </si>
  <si>
    <t>②流動負債</t>
    <rPh sb="1" eb="3">
      <t>リュウドウ</t>
    </rPh>
    <rPh sb="3" eb="5">
      <t>フサイ</t>
    </rPh>
    <phoneticPr fontId="4"/>
  </si>
  <si>
    <t>①－②</t>
    <phoneticPr fontId="4"/>
  </si>
  <si>
    <t>・｢反復投資｣ときたら、互いを比較するため、耐用年数の最小公倍数を使い、計算期間を6年に揃えてから計算する。</t>
    <rPh sb="2" eb="4">
      <t>ハンプク</t>
    </rPh>
    <rPh sb="4" eb="6">
      <t>トウシ</t>
    </rPh>
    <rPh sb="12" eb="13">
      <t>タガ</t>
    </rPh>
    <rPh sb="15" eb="17">
      <t>ヒカク</t>
    </rPh>
    <rPh sb="22" eb="24">
      <t>タイヨウ</t>
    </rPh>
    <rPh sb="24" eb="26">
      <t>ネンスウ</t>
    </rPh>
    <rPh sb="27" eb="29">
      <t>サイショウ</t>
    </rPh>
    <rPh sb="29" eb="32">
      <t>コウバイスウ</t>
    </rPh>
    <rPh sb="33" eb="34">
      <t>ツカ</t>
    </rPh>
    <rPh sb="36" eb="38">
      <t>ケイサン</t>
    </rPh>
    <rPh sb="38" eb="40">
      <t>キカン</t>
    </rPh>
    <rPh sb="42" eb="43">
      <t>ネン</t>
    </rPh>
    <rPh sb="44" eb="45">
      <t>ソロ</t>
    </rPh>
    <rPh sb="49" eb="51">
      <t>ケイサン</t>
    </rPh>
    <phoneticPr fontId="4"/>
  </si>
  <si>
    <t>・当問は、計算が非常に煩雑な難問である一方、解説が極めて不親切。基本的に解かなくて良いが、この手の問題であえて悩んで頭を鍛える時間があれば、それはそれで効果あり。</t>
    <rPh sb="1" eb="2">
      <t>トウ</t>
    </rPh>
    <rPh sb="2" eb="3">
      <t>モン</t>
    </rPh>
    <rPh sb="5" eb="7">
      <t>ケイサン</t>
    </rPh>
    <rPh sb="8" eb="10">
      <t>ヒジョウ</t>
    </rPh>
    <rPh sb="11" eb="13">
      <t>ハンザツ</t>
    </rPh>
    <rPh sb="14" eb="16">
      <t>ナンモン</t>
    </rPh>
    <rPh sb="19" eb="21">
      <t>イッポウ</t>
    </rPh>
    <rPh sb="22" eb="24">
      <t>カイセツ</t>
    </rPh>
    <rPh sb="25" eb="26">
      <t>キワ</t>
    </rPh>
    <rPh sb="28" eb="31">
      <t>フシンセツ</t>
    </rPh>
    <rPh sb="32" eb="35">
      <t>キホンテキ</t>
    </rPh>
    <rPh sb="36" eb="37">
      <t>ト</t>
    </rPh>
    <rPh sb="41" eb="42">
      <t>ヨ</t>
    </rPh>
    <rPh sb="47" eb="48">
      <t>テ</t>
    </rPh>
    <rPh sb="49" eb="51">
      <t>モンダイ</t>
    </rPh>
    <rPh sb="55" eb="56">
      <t>ナヤ</t>
    </rPh>
    <rPh sb="58" eb="59">
      <t>アタマ</t>
    </rPh>
    <rPh sb="60" eb="61">
      <t>キタ</t>
    </rPh>
    <rPh sb="63" eb="65">
      <t>ジカン</t>
    </rPh>
    <rPh sb="76" eb="78">
      <t>コウカ</t>
    </rPh>
    <phoneticPr fontId="4"/>
  </si>
  <si>
    <t>α機械を3回買い、6年使う時のNPV</t>
    <rPh sb="1" eb="3">
      <t>キカイ</t>
    </rPh>
    <rPh sb="5" eb="6">
      <t>カイ</t>
    </rPh>
    <rPh sb="6" eb="7">
      <t>カ</t>
    </rPh>
    <rPh sb="10" eb="11">
      <t>ネン</t>
    </rPh>
    <rPh sb="11" eb="12">
      <t>ツカ</t>
    </rPh>
    <rPh sb="13" eb="14">
      <t>トキ</t>
    </rPh>
    <phoneticPr fontId="4"/>
  </si>
  <si>
    <t>Y1</t>
    <phoneticPr fontId="4"/>
  </si>
  <si>
    <t>Y2</t>
  </si>
  <si>
    <t>Y3</t>
  </si>
  <si>
    <t>Y4</t>
  </si>
  <si>
    <t>Y5</t>
  </si>
  <si>
    <t>Y6</t>
    <phoneticPr fontId="4"/>
  </si>
  <si>
    <t>現金支出</t>
    <rPh sb="0" eb="2">
      <t>ゲンキン</t>
    </rPh>
    <rPh sb="2" eb="4">
      <t>シシュツ</t>
    </rPh>
    <phoneticPr fontId="4"/>
  </si>
  <si>
    <t>現金支出分TS</t>
    <rPh sb="0" eb="2">
      <t>ゲンキン</t>
    </rPh>
    <rPh sb="2" eb="4">
      <t>シシュツ</t>
    </rPh>
    <rPh sb="4" eb="5">
      <t>ブン</t>
    </rPh>
    <phoneticPr fontId="4"/>
  </si>
  <si>
    <t>不明</t>
    <rPh sb="0" eb="2">
      <t>フメイ</t>
    </rPh>
    <phoneticPr fontId="4"/>
  </si>
  <si>
    <t>減価償却費TS</t>
    <rPh sb="0" eb="2">
      <t>ゲンカ</t>
    </rPh>
    <rPh sb="2" eb="4">
      <t>ショウキャク</t>
    </rPh>
    <rPh sb="4" eb="5">
      <t>ヒ</t>
    </rPh>
    <phoneticPr fontId="4"/>
  </si>
  <si>
    <t>TS額</t>
    <rPh sb="2" eb="3">
      <t>ガク</t>
    </rPh>
    <phoneticPr fontId="4"/>
  </si>
  <si>
    <t>タックスシールド</t>
    <phoneticPr fontId="4"/>
  </si>
  <si>
    <t>現在価値</t>
    <rPh sb="0" eb="2">
      <t>ゲンザイ</t>
    </rPh>
    <rPh sb="2" eb="4">
      <t>カチ</t>
    </rPh>
    <phoneticPr fontId="4"/>
  </si>
  <si>
    <t>タックスシールド</t>
  </si>
  <si>
    <t>NPV①＋②</t>
    <phoneticPr fontId="4"/>
  </si>
  <si>
    <t>β機械を3回買い、6年使う時のNPV</t>
    <rPh sb="1" eb="3">
      <t>キカイ</t>
    </rPh>
    <rPh sb="5" eb="6">
      <t>カイ</t>
    </rPh>
    <rPh sb="6" eb="7">
      <t>カ</t>
    </rPh>
    <rPh sb="10" eb="11">
      <t>ネン</t>
    </rPh>
    <rPh sb="11" eb="12">
      <t>ツカ</t>
    </rPh>
    <rPh sb="13" eb="14">
      <t>トキ</t>
    </rPh>
    <phoneticPr fontId="4"/>
  </si>
  <si>
    <t>Y1</t>
    <phoneticPr fontId="4"/>
  </si>
  <si>
    <t>Y6</t>
    <phoneticPr fontId="4"/>
  </si>
  <si>
    <t>CF</t>
    <phoneticPr fontId="4"/>
  </si>
  <si>
    <t>COF</t>
    <phoneticPr fontId="4"/>
  </si>
  <si>
    <t>CIF</t>
    <phoneticPr fontId="4"/>
  </si>
  <si>
    <t>β機械の許容現金支出額</t>
    <rPh sb="1" eb="3">
      <t>キカイ</t>
    </rPh>
    <rPh sb="4" eb="6">
      <t>キョヨウ</t>
    </rPh>
    <rPh sb="6" eb="8">
      <t>ゲンキン</t>
    </rPh>
    <rPh sb="8" eb="10">
      <t>シシュツ</t>
    </rPh>
    <rPh sb="10" eb="11">
      <t>ガク</t>
    </rPh>
    <phoneticPr fontId="4"/>
  </si>
  <si>
    <t>WACC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</si>
</sst>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;[Red]\-#,##0.0000"/>
    <numFmt numFmtId="177" formatCode="0.0%"/>
  </numFmts>
  <fonts count="14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3F3F3F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3F3F3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rgb="FF0000FF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7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2" borderId="2" xfId="5" applyNumberFormat="1" applyFont="1" applyBorder="1">
      <alignment vertical="center"/>
    </xf>
    <xf numFmtId="38" fontId="5" fillId="2" borderId="3" xfId="5" applyNumberFormat="1" applyFont="1" applyBorder="1">
      <alignment vertical="center"/>
    </xf>
    <xf numFmtId="38" fontId="5" fillId="2" borderId="4" xfId="5" applyNumberFormat="1" applyFont="1" applyBorder="1">
      <alignment vertical="center"/>
    </xf>
    <xf numFmtId="38" fontId="6" fillId="0" borderId="0" xfId="6" applyFont="1">
      <alignment vertical="center"/>
    </xf>
    <xf numFmtId="38" fontId="5" fillId="2" borderId="5" xfId="5" applyNumberFormat="1" applyFont="1" applyBorder="1">
      <alignment vertical="center"/>
    </xf>
    <xf numFmtId="38" fontId="5" fillId="2" borderId="0" xfId="5" applyNumberFormat="1" applyFont="1" applyBorder="1">
      <alignment vertical="center"/>
    </xf>
    <xf numFmtId="38" fontId="5" fillId="2" borderId="6" xfId="5" applyNumberFormat="1" applyFont="1" applyBorder="1">
      <alignment vertical="center"/>
    </xf>
    <xf numFmtId="38" fontId="5" fillId="2" borderId="7" xfId="5" applyNumberFormat="1" applyFont="1" applyBorder="1">
      <alignment vertical="center"/>
    </xf>
    <xf numFmtId="38" fontId="5" fillId="2" borderId="8" xfId="5" applyNumberFormat="1" applyFont="1" applyBorder="1">
      <alignment vertical="center"/>
    </xf>
    <xf numFmtId="38" fontId="5" fillId="2" borderId="9" xfId="5" applyNumberFormat="1" applyFont="1" applyBorder="1">
      <alignment vertical="center"/>
    </xf>
    <xf numFmtId="38" fontId="5" fillId="0" borderId="0" xfId="5" applyNumberFormat="1" applyFont="1" applyFill="1" applyBorder="1">
      <alignment vertical="center"/>
    </xf>
    <xf numFmtId="38" fontId="6" fillId="0" borderId="0" xfId="6" applyFont="1" applyFill="1">
      <alignment vertical="center"/>
    </xf>
    <xf numFmtId="38" fontId="2" fillId="2" borderId="10" xfId="3" applyNumberFormat="1" applyBorder="1">
      <alignment vertical="center"/>
    </xf>
    <xf numFmtId="38" fontId="2" fillId="2" borderId="11" xfId="3" applyNumberFormat="1" applyBorder="1">
      <alignment vertical="center"/>
    </xf>
    <xf numFmtId="38" fontId="2" fillId="2" borderId="12" xfId="3" applyNumberFormat="1" applyBorder="1">
      <alignment vertical="center"/>
    </xf>
    <xf numFmtId="38" fontId="2" fillId="2" borderId="13" xfId="3" applyNumberFormat="1" applyBorder="1">
      <alignment vertical="center"/>
    </xf>
    <xf numFmtId="38" fontId="2" fillId="2" borderId="0" xfId="3" applyNumberFormat="1" applyBorder="1">
      <alignment vertical="center"/>
    </xf>
    <xf numFmtId="38" fontId="2" fillId="2" borderId="14" xfId="3" applyNumberFormat="1" applyBorder="1">
      <alignment vertical="center"/>
    </xf>
    <xf numFmtId="38" fontId="2" fillId="2" borderId="15" xfId="3" applyNumberFormat="1" applyBorder="1">
      <alignment vertical="center"/>
    </xf>
    <xf numFmtId="38" fontId="2" fillId="2" borderId="16" xfId="3" applyNumberFormat="1" applyBorder="1">
      <alignment vertical="center"/>
    </xf>
    <xf numFmtId="38" fontId="2" fillId="2" borderId="17" xfId="3" applyNumberFormat="1" applyBorder="1">
      <alignment vertical="center"/>
    </xf>
    <xf numFmtId="38" fontId="3" fillId="3" borderId="0" xfId="4" applyNumberFormat="1">
      <alignment vertical="center"/>
    </xf>
    <xf numFmtId="38" fontId="6" fillId="4" borderId="17" xfId="6" applyFont="1" applyFill="1" applyBorder="1">
      <alignment vertical="center"/>
    </xf>
    <xf numFmtId="38" fontId="6" fillId="0" borderId="18" xfId="6" applyFont="1" applyFill="1" applyBorder="1">
      <alignment vertical="center"/>
    </xf>
    <xf numFmtId="38" fontId="6" fillId="0" borderId="18" xfId="6" applyFont="1" applyBorder="1">
      <alignment vertical="center"/>
    </xf>
    <xf numFmtId="38" fontId="6" fillId="0" borderId="10" xfId="6" applyFont="1" applyBorder="1">
      <alignment vertical="center"/>
    </xf>
    <xf numFmtId="38" fontId="6" fillId="0" borderId="11" xfId="6" applyFont="1" applyFill="1" applyBorder="1">
      <alignment vertical="center"/>
    </xf>
    <xf numFmtId="38" fontId="6" fillId="0" borderId="12" xfId="6" applyFont="1" applyFill="1" applyBorder="1">
      <alignment vertical="center"/>
    </xf>
    <xf numFmtId="38" fontId="6" fillId="0" borderId="19" xfId="6" applyFont="1" applyFill="1" applyBorder="1">
      <alignment vertical="center"/>
    </xf>
    <xf numFmtId="38" fontId="6" fillId="0" borderId="13" xfId="6" applyFont="1" applyFill="1" applyBorder="1">
      <alignment vertical="center"/>
    </xf>
    <xf numFmtId="38" fontId="6" fillId="0" borderId="0" xfId="6" applyFont="1" applyFill="1" applyBorder="1">
      <alignment vertical="center"/>
    </xf>
    <xf numFmtId="38" fontId="6" fillId="0" borderId="14" xfId="6" applyFont="1" applyBorder="1">
      <alignment vertical="center"/>
    </xf>
    <xf numFmtId="38" fontId="6" fillId="4" borderId="10" xfId="6" applyFont="1" applyFill="1" applyBorder="1">
      <alignment vertical="center"/>
    </xf>
    <xf numFmtId="38" fontId="6" fillId="4" borderId="12" xfId="6" applyFont="1" applyFill="1" applyBorder="1">
      <alignment vertical="center"/>
    </xf>
    <xf numFmtId="176" fontId="6" fillId="0" borderId="20" xfId="6" applyNumberFormat="1" applyFont="1" applyFill="1" applyBorder="1" applyAlignment="1">
      <alignment horizontal="center" vertical="center"/>
    </xf>
    <xf numFmtId="176" fontId="6" fillId="0" borderId="21" xfId="6" applyNumberFormat="1" applyFont="1" applyFill="1" applyBorder="1" applyAlignment="1">
      <alignment horizontal="center" vertical="center"/>
    </xf>
    <xf numFmtId="176" fontId="6" fillId="0" borderId="22" xfId="6" applyNumberFormat="1" applyFont="1" applyFill="1" applyBorder="1" applyAlignment="1">
      <alignment horizontal="center" vertical="center"/>
    </xf>
    <xf numFmtId="38" fontId="6" fillId="4" borderId="15" xfId="6" applyFont="1" applyFill="1" applyBorder="1">
      <alignment vertical="center"/>
    </xf>
    <xf numFmtId="176" fontId="6" fillId="0" borderId="0" xfId="6" applyNumberFormat="1" applyFont="1">
      <alignment vertical="center"/>
    </xf>
    <xf numFmtId="38" fontId="6" fillId="5" borderId="23" xfId="6" applyFont="1" applyFill="1" applyBorder="1">
      <alignment vertical="center"/>
    </xf>
    <xf numFmtId="38" fontId="6" fillId="4" borderId="0" xfId="6" applyFont="1" applyFill="1" applyBorder="1">
      <alignment vertical="center"/>
    </xf>
    <xf numFmtId="38" fontId="6" fillId="0" borderId="15" xfId="6" applyFont="1" applyFill="1" applyBorder="1">
      <alignment vertical="center"/>
    </xf>
    <xf numFmtId="38" fontId="6" fillId="4" borderId="16" xfId="6" applyFont="1" applyFill="1" applyBorder="1">
      <alignment vertical="center"/>
    </xf>
    <xf numFmtId="38" fontId="6" fillId="0" borderId="17" xfId="6" applyFont="1" applyBorder="1">
      <alignment vertical="center"/>
    </xf>
    <xf numFmtId="38" fontId="6" fillId="0" borderId="0" xfId="6" applyFont="1" applyAlignment="1">
      <alignment horizontal="center" vertical="center"/>
    </xf>
    <xf numFmtId="38" fontId="6" fillId="0" borderId="16" xfId="6" applyFont="1" applyBorder="1">
      <alignment vertical="center"/>
    </xf>
    <xf numFmtId="9" fontId="6" fillId="0" borderId="0" xfId="2" applyFont="1">
      <alignment vertical="center"/>
    </xf>
    <xf numFmtId="38" fontId="10" fillId="0" borderId="0" xfId="6" applyFont="1">
      <alignment vertical="center"/>
    </xf>
    <xf numFmtId="10" fontId="6" fillId="5" borderId="23" xfId="2" applyNumberFormat="1" applyFont="1" applyFill="1" applyBorder="1">
      <alignment vertical="center"/>
    </xf>
    <xf numFmtId="38" fontId="6" fillId="0" borderId="19" xfId="6" applyFont="1" applyBorder="1">
      <alignment vertical="center"/>
    </xf>
    <xf numFmtId="177" fontId="6" fillId="0" borderId="0" xfId="2" applyNumberFormat="1" applyFont="1">
      <alignment vertical="center"/>
    </xf>
    <xf numFmtId="38" fontId="6" fillId="0" borderId="13" xfId="6" applyFont="1" applyBorder="1">
      <alignment vertical="center"/>
    </xf>
    <xf numFmtId="38" fontId="6" fillId="0" borderId="15" xfId="6" applyFont="1" applyBorder="1">
      <alignment vertical="center"/>
    </xf>
    <xf numFmtId="177" fontId="6" fillId="5" borderId="23" xfId="2" applyNumberFormat="1" applyFont="1" applyFill="1" applyBorder="1">
      <alignment vertical="center"/>
    </xf>
    <xf numFmtId="38" fontId="6" fillId="5" borderId="0" xfId="6" applyFont="1" applyFill="1">
      <alignment vertical="center"/>
    </xf>
    <xf numFmtId="38" fontId="6" fillId="5" borderId="24" xfId="6" applyFont="1" applyFill="1" applyBorder="1">
      <alignment vertical="center"/>
    </xf>
    <xf numFmtId="38" fontId="6" fillId="5" borderId="25" xfId="6" applyFont="1" applyFill="1" applyBorder="1">
      <alignment vertical="center"/>
    </xf>
    <xf numFmtId="38" fontId="6" fillId="5" borderId="26" xfId="6" applyFont="1" applyFill="1" applyBorder="1">
      <alignment vertical="center"/>
    </xf>
    <xf numFmtId="38" fontId="6" fillId="5" borderId="23" xfId="1" applyFont="1" applyFill="1" applyBorder="1">
      <alignment vertical="center"/>
    </xf>
    <xf numFmtId="38" fontId="6" fillId="6" borderId="0" xfId="6" applyFont="1" applyFill="1">
      <alignment vertical="center"/>
    </xf>
    <xf numFmtId="177" fontId="6" fillId="5" borderId="27" xfId="2" applyNumberFormat="1" applyFont="1" applyFill="1" applyBorder="1">
      <alignment vertical="center"/>
    </xf>
    <xf numFmtId="10" fontId="6" fillId="5" borderId="28" xfId="2" applyNumberFormat="1" applyFont="1" applyFill="1" applyBorder="1">
      <alignment vertical="center"/>
    </xf>
    <xf numFmtId="9" fontId="6" fillId="0" borderId="18" xfId="2" applyFont="1" applyBorder="1">
      <alignment vertical="center"/>
    </xf>
    <xf numFmtId="38" fontId="6" fillId="0" borderId="29" xfId="6" applyFont="1" applyBorder="1">
      <alignment vertical="center"/>
    </xf>
    <xf numFmtId="10" fontId="6" fillId="5" borderId="25" xfId="2" applyNumberFormat="1" applyFont="1" applyFill="1" applyBorder="1">
      <alignment vertical="center"/>
    </xf>
    <xf numFmtId="10" fontId="6" fillId="0" borderId="0" xfId="2" applyNumberFormat="1" applyFont="1">
      <alignment vertical="center"/>
    </xf>
    <xf numFmtId="38" fontId="6" fillId="0" borderId="30" xfId="6" applyFont="1" applyFill="1" applyBorder="1">
      <alignment vertical="center"/>
    </xf>
    <xf numFmtId="38" fontId="6" fillId="0" borderId="31" xfId="6" applyFont="1" applyFill="1" applyBorder="1">
      <alignment vertical="center"/>
    </xf>
    <xf numFmtId="38" fontId="6" fillId="0" borderId="32" xfId="6" applyFont="1" applyFill="1" applyBorder="1">
      <alignment vertical="center"/>
    </xf>
    <xf numFmtId="38" fontId="6" fillId="0" borderId="33" xfId="6" applyFont="1" applyFill="1" applyBorder="1">
      <alignment vertical="center"/>
    </xf>
    <xf numFmtId="38" fontId="6" fillId="0" borderId="34" xfId="6" applyFont="1" applyFill="1" applyBorder="1">
      <alignment vertical="center"/>
    </xf>
    <xf numFmtId="38" fontId="6" fillId="0" borderId="10" xfId="6" applyFont="1" applyFill="1" applyBorder="1">
      <alignment vertical="center"/>
    </xf>
    <xf numFmtId="38" fontId="6" fillId="4" borderId="11" xfId="6" applyFont="1" applyFill="1" applyBorder="1">
      <alignment vertical="center"/>
    </xf>
    <xf numFmtId="38" fontId="6" fillId="0" borderId="35" xfId="6" applyFont="1" applyFill="1" applyBorder="1">
      <alignment vertical="center"/>
    </xf>
    <xf numFmtId="38" fontId="6" fillId="0" borderId="36" xfId="6" applyFont="1" applyFill="1" applyBorder="1">
      <alignment vertical="center"/>
    </xf>
    <xf numFmtId="38" fontId="6" fillId="0" borderId="37" xfId="6" applyFont="1" applyFill="1" applyBorder="1">
      <alignment vertical="center"/>
    </xf>
    <xf numFmtId="38" fontId="13" fillId="0" borderId="13" xfId="6" applyFont="1" applyFill="1" applyBorder="1">
      <alignment vertical="center"/>
    </xf>
    <xf numFmtId="38" fontId="13" fillId="4" borderId="0" xfId="6" applyFont="1" applyFill="1" applyBorder="1">
      <alignment vertical="center"/>
    </xf>
    <xf numFmtId="38" fontId="13" fillId="0" borderId="15" xfId="6" applyFont="1" applyFill="1" applyBorder="1">
      <alignment vertical="center"/>
    </xf>
    <xf numFmtId="38" fontId="13" fillId="4" borderId="17" xfId="6" applyFont="1" applyFill="1" applyBorder="1">
      <alignment vertical="center"/>
    </xf>
    <xf numFmtId="176" fontId="6" fillId="0" borderId="20" xfId="6" applyNumberFormat="1" applyFont="1" applyBorder="1" applyAlignment="1">
      <alignment horizontal="center" vertical="center"/>
    </xf>
    <xf numFmtId="176" fontId="6" fillId="0" borderId="21" xfId="6" applyNumberFormat="1" applyFont="1" applyBorder="1" applyAlignment="1">
      <alignment horizontal="center" vertical="center"/>
    </xf>
    <xf numFmtId="176" fontId="6" fillId="0" borderId="22" xfId="6" applyNumberFormat="1" applyFont="1" applyBorder="1" applyAlignment="1">
      <alignment horizontal="center" vertical="center"/>
    </xf>
    <xf numFmtId="38" fontId="6" fillId="0" borderId="16" xfId="6" applyFont="1" applyFill="1" applyBorder="1">
      <alignment vertical="center"/>
    </xf>
    <xf numFmtId="38" fontId="6" fillId="0" borderId="0" xfId="1" applyFont="1" applyFill="1">
      <alignment vertical="center"/>
    </xf>
    <xf numFmtId="38" fontId="6" fillId="4" borderId="19" xfId="1" applyFont="1" applyFill="1" applyBorder="1" applyAlignment="1">
      <alignment horizontal="right" vertical="center"/>
    </xf>
    <xf numFmtId="38" fontId="6" fillId="4" borderId="18" xfId="1" applyFont="1" applyFill="1" applyBorder="1" applyAlignment="1">
      <alignment horizontal="right" vertical="center"/>
    </xf>
    <xf numFmtId="177" fontId="6" fillId="4" borderId="0" xfId="2" applyNumberFormat="1" applyFont="1" applyFill="1">
      <alignment vertical="center"/>
    </xf>
  </cellXfs>
  <cellStyles count="7">
    <cellStyle name="アクセント 1" xfId="4" builtinId="29"/>
    <cellStyle name="パーセント" xfId="2" builtinId="5"/>
    <cellStyle name="桁区切り" xfId="1" builtinId="6"/>
    <cellStyle name="桁区切り 2" xfId="6"/>
    <cellStyle name="出力" xfId="3" builtinId="21"/>
    <cellStyle name="出力 2" xf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4" workbookViewId="0">
      <selection activeCell="E10" sqref="E10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7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7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7">
      <c r="A6" s="1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7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7">
      <c r="P8" s="4" t="s">
        <v>6</v>
      </c>
      <c r="Q8" s="4" t="s">
        <v>7</v>
      </c>
    </row>
    <row r="9" spans="1:17">
      <c r="A9" s="4" t="s">
        <v>8</v>
      </c>
      <c r="J9" s="22" t="s">
        <v>9</v>
      </c>
      <c r="K9" s="22"/>
      <c r="L9" s="22"/>
      <c r="M9" s="22"/>
      <c r="O9" s="4" t="s">
        <v>10</v>
      </c>
      <c r="P9" s="4">
        <v>10000</v>
      </c>
    </row>
    <row r="10" spans="1:17">
      <c r="J10" s="12" t="s">
        <v>11</v>
      </c>
      <c r="K10" s="12"/>
      <c r="L10" s="12"/>
      <c r="O10" s="4" t="s">
        <v>12</v>
      </c>
      <c r="P10" s="4">
        <v>2000</v>
      </c>
    </row>
    <row r="11" spans="1:17">
      <c r="J11" s="12" t="s">
        <v>13</v>
      </c>
      <c r="L11" s="12" t="s">
        <v>14</v>
      </c>
      <c r="O11" s="4" t="s">
        <v>15</v>
      </c>
      <c r="P11" s="4">
        <v>800</v>
      </c>
    </row>
    <row r="12" spans="1:17">
      <c r="B12" s="12" t="s">
        <v>16</v>
      </c>
      <c r="C12" s="23">
        <v>-30000000</v>
      </c>
      <c r="D12" s="24"/>
      <c r="E12" s="24"/>
      <c r="F12" s="25"/>
      <c r="G12" s="25"/>
      <c r="H12" s="25">
        <f>+P14*0.1</f>
        <v>3000000</v>
      </c>
      <c r="J12" s="26" t="s">
        <v>17</v>
      </c>
      <c r="K12" s="27">
        <f>+P9*P11+Q12</f>
        <v>12000000</v>
      </c>
      <c r="L12" s="26" t="s">
        <v>18</v>
      </c>
      <c r="M12" s="28">
        <f>+P9*P10</f>
        <v>20000000</v>
      </c>
      <c r="O12" s="4" t="s">
        <v>19</v>
      </c>
      <c r="Q12" s="4">
        <v>4000000</v>
      </c>
    </row>
    <row r="13" spans="1:17">
      <c r="B13" s="12" t="s">
        <v>20</v>
      </c>
      <c r="C13" s="28"/>
      <c r="D13" s="29">
        <f>+$K$20</f>
        <v>6960000</v>
      </c>
      <c r="E13" s="29">
        <f t="shared" ref="E13:G13" si="0">+$K$20</f>
        <v>6960000</v>
      </c>
      <c r="F13" s="29">
        <f t="shared" si="0"/>
        <v>6960000</v>
      </c>
      <c r="G13" s="29">
        <f t="shared" si="0"/>
        <v>6960000</v>
      </c>
      <c r="H13" s="29">
        <f>+$K$20</f>
        <v>6960000</v>
      </c>
      <c r="J13" s="30"/>
      <c r="K13" s="31"/>
      <c r="L13" s="30"/>
      <c r="M13" s="32"/>
    </row>
    <row r="14" spans="1:17">
      <c r="B14" s="12" t="s">
        <v>21</v>
      </c>
      <c r="C14" s="12"/>
      <c r="D14" s="12"/>
      <c r="E14" s="12"/>
      <c r="H14" s="4" t="str">
        <f>+L12</f>
        <v>収益</v>
      </c>
      <c r="J14" s="33" t="s">
        <v>22</v>
      </c>
      <c r="K14" s="34">
        <f>+P15</f>
        <v>5400000</v>
      </c>
      <c r="L14" s="30"/>
      <c r="M14" s="32"/>
      <c r="O14" s="4" t="s">
        <v>23</v>
      </c>
      <c r="P14" s="4">
        <v>30000000</v>
      </c>
    </row>
    <row r="15" spans="1:17">
      <c r="B15" s="12" t="s">
        <v>24</v>
      </c>
      <c r="C15" s="12"/>
      <c r="D15" s="35">
        <v>4.2123999999999997</v>
      </c>
      <c r="E15" s="36"/>
      <c r="F15" s="36"/>
      <c r="G15" s="36"/>
      <c r="H15" s="37"/>
      <c r="J15" s="38"/>
      <c r="K15" s="23"/>
      <c r="L15" s="30"/>
      <c r="M15" s="32"/>
      <c r="O15" s="4" t="s">
        <v>25</v>
      </c>
      <c r="P15" s="4">
        <f>+P14*0.9/5</f>
        <v>5400000</v>
      </c>
    </row>
    <row r="16" spans="1:17" ht="17.25" thickBot="1">
      <c r="B16" s="12" t="s">
        <v>26</v>
      </c>
      <c r="C16" s="12">
        <f>+D13*D15+H12*H16</f>
        <v>31560203.999999996</v>
      </c>
      <c r="D16" s="12"/>
      <c r="E16" s="12"/>
      <c r="H16" s="39">
        <v>0.74729999999999996</v>
      </c>
      <c r="J16" s="30" t="s">
        <v>27</v>
      </c>
      <c r="K16" s="31">
        <f>+M12-K12-K14</f>
        <v>2600000</v>
      </c>
      <c r="L16" s="30"/>
      <c r="M16" s="32"/>
    </row>
    <row r="17" spans="1:16" ht="17.25" thickBot="1">
      <c r="B17" s="4" t="s">
        <v>28</v>
      </c>
      <c r="C17" s="40">
        <f>+SUM(C12:C16)</f>
        <v>1560203.9999999963</v>
      </c>
      <c r="J17" s="30" t="s">
        <v>29</v>
      </c>
      <c r="K17" s="41" t="s">
        <v>30</v>
      </c>
      <c r="L17" s="30"/>
      <c r="M17" s="32"/>
    </row>
    <row r="18" spans="1:16">
      <c r="J18" s="42">
        <f>+K16*0.4</f>
        <v>1040000</v>
      </c>
      <c r="K18" s="43">
        <f>+K16-J18</f>
        <v>1560000</v>
      </c>
      <c r="L18" s="42"/>
      <c r="M18" s="44"/>
    </row>
    <row r="19" spans="1:16">
      <c r="A19" s="4" t="s">
        <v>31</v>
      </c>
      <c r="B19" s="4" t="s">
        <v>32</v>
      </c>
    </row>
    <row r="20" spans="1:16">
      <c r="K20" s="4">
        <f>+K14+K18</f>
        <v>6960000</v>
      </c>
    </row>
    <row r="21" spans="1:16">
      <c r="J21" s="12" t="s">
        <v>13</v>
      </c>
      <c r="L21" s="12" t="s">
        <v>14</v>
      </c>
    </row>
    <row r="22" spans="1:16">
      <c r="B22" s="12" t="s">
        <v>16</v>
      </c>
      <c r="C22" s="23">
        <v>-30000000</v>
      </c>
      <c r="D22" s="24"/>
      <c r="E22" s="24"/>
      <c r="F22" s="25"/>
      <c r="G22" s="25"/>
      <c r="H22" s="25">
        <v>3000000</v>
      </c>
      <c r="J22" s="26" t="s">
        <v>19</v>
      </c>
      <c r="K22" s="27">
        <f>+Q12</f>
        <v>4000000</v>
      </c>
      <c r="L22" s="26" t="s">
        <v>18</v>
      </c>
      <c r="M22" s="28" t="s">
        <v>33</v>
      </c>
    </row>
    <row r="23" spans="1:16">
      <c r="B23" s="12" t="s">
        <v>34</v>
      </c>
      <c r="C23" s="28"/>
      <c r="D23" s="29">
        <f>+(C26-H27)/D25</f>
        <v>6589616.3707150323</v>
      </c>
      <c r="E23" s="29"/>
      <c r="F23" s="29"/>
      <c r="G23" s="29"/>
      <c r="H23" s="29"/>
      <c r="J23" s="30" t="s">
        <v>15</v>
      </c>
      <c r="K23" s="31" t="s">
        <v>35</v>
      </c>
      <c r="L23" s="30"/>
      <c r="M23" s="32"/>
    </row>
    <row r="24" spans="1:16">
      <c r="B24" s="12" t="s">
        <v>21</v>
      </c>
      <c r="C24" s="12"/>
      <c r="D24" s="12"/>
      <c r="E24" s="12"/>
      <c r="H24" s="4" t="str">
        <f>+L22</f>
        <v>収益</v>
      </c>
      <c r="J24" s="33" t="s">
        <v>22</v>
      </c>
      <c r="K24" s="34">
        <f>+K14</f>
        <v>5400000</v>
      </c>
      <c r="L24" s="30"/>
      <c r="M24" s="32"/>
      <c r="O24" s="4" t="s">
        <v>36</v>
      </c>
      <c r="P24" s="4">
        <f>+K22+K24+K26</f>
        <v>11382693.95119172</v>
      </c>
    </row>
    <row r="25" spans="1:16">
      <c r="B25" s="12" t="s">
        <v>24</v>
      </c>
      <c r="C25" s="12"/>
      <c r="D25" s="35">
        <v>4.2123999999999997</v>
      </c>
      <c r="E25" s="36"/>
      <c r="F25" s="36"/>
      <c r="G25" s="36"/>
      <c r="H25" s="37"/>
      <c r="J25" s="38"/>
      <c r="K25" s="23"/>
      <c r="L25" s="30"/>
      <c r="M25" s="32"/>
      <c r="O25" s="4" t="s">
        <v>37</v>
      </c>
      <c r="P25" s="4">
        <f>+P10-P11</f>
        <v>1200</v>
      </c>
    </row>
    <row r="26" spans="1:16" ht="17.25" thickBot="1">
      <c r="B26" s="12" t="s">
        <v>26</v>
      </c>
      <c r="C26" s="12">
        <v>30000000</v>
      </c>
      <c r="D26" s="12"/>
      <c r="E26" s="12"/>
      <c r="H26" s="39">
        <v>0.74729999999999996</v>
      </c>
      <c r="J26" s="30" t="s">
        <v>27</v>
      </c>
      <c r="K26" s="31">
        <f>+K28/0.6</f>
        <v>1982693.9511917206</v>
      </c>
      <c r="L26" s="30"/>
      <c r="M26" s="32"/>
      <c r="O26" s="4" t="s">
        <v>38</v>
      </c>
      <c r="P26" s="4">
        <f>+P24/P25</f>
        <v>9485.5782926597658</v>
      </c>
    </row>
    <row r="27" spans="1:16" ht="17.25" thickBot="1">
      <c r="B27" s="4" t="s">
        <v>28</v>
      </c>
      <c r="C27" s="40">
        <v>0</v>
      </c>
      <c r="H27" s="4">
        <f>+H22*H26</f>
        <v>2241900</v>
      </c>
      <c r="J27" s="30" t="s">
        <v>29</v>
      </c>
      <c r="K27" s="41" t="s">
        <v>30</v>
      </c>
      <c r="L27" s="30"/>
      <c r="M27" s="32"/>
    </row>
    <row r="28" spans="1:16">
      <c r="J28" s="42">
        <f>+K26*0.4</f>
        <v>793077.58047668822</v>
      </c>
      <c r="K28" s="43">
        <f>+K30-K24</f>
        <v>1189616.3707150323</v>
      </c>
      <c r="L28" s="42"/>
      <c r="M28" s="44"/>
    </row>
    <row r="30" spans="1:16">
      <c r="K30" s="4">
        <f>+D23</f>
        <v>6589616.3707150323</v>
      </c>
    </row>
  </sheetData>
  <mergeCells count="2">
    <mergeCell ref="D15:H15"/>
    <mergeCell ref="D25:H25"/>
  </mergeCells>
  <phoneticPr fontId="4"/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E19" sqref="E19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4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</sheetData>
  <phoneticPr fontId="4"/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2" workbookViewId="0">
      <selection activeCell="E19" sqref="E19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>
      <c r="A3" s="8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4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>
      <c r="A7" s="19" t="s">
        <v>43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1:14">
      <c r="A9" s="4" t="s">
        <v>44</v>
      </c>
    </row>
    <row r="10" spans="1:14">
      <c r="B10" s="4" t="s">
        <v>45</v>
      </c>
      <c r="C10" s="4">
        <v>10</v>
      </c>
      <c r="D10" s="4" t="s">
        <v>46</v>
      </c>
      <c r="E10" s="4" t="s">
        <v>47</v>
      </c>
    </row>
    <row r="11" spans="1:14" ht="18.75" customHeight="1">
      <c r="B11" s="4" t="s">
        <v>48</v>
      </c>
      <c r="C11" s="4">
        <v>1000</v>
      </c>
      <c r="E11" s="45" t="s">
        <v>49</v>
      </c>
      <c r="F11" s="46" t="s">
        <v>50</v>
      </c>
    </row>
    <row r="12" spans="1:14">
      <c r="B12" s="4" t="s">
        <v>51</v>
      </c>
      <c r="C12" s="47">
        <v>0.06</v>
      </c>
      <c r="E12" s="45"/>
      <c r="F12" s="4" t="s">
        <v>52</v>
      </c>
    </row>
    <row r="13" spans="1:14" ht="17.25" thickBot="1">
      <c r="B13" s="4" t="s">
        <v>53</v>
      </c>
      <c r="F13" s="48" t="s">
        <v>54</v>
      </c>
    </row>
    <row r="14" spans="1:14" ht="17.25" thickBot="1">
      <c r="C14" s="4" t="s">
        <v>55</v>
      </c>
      <c r="D14" s="49">
        <f>+C10/C11+C12</f>
        <v>6.9999999999999993E-2</v>
      </c>
    </row>
    <row r="16" spans="1:14">
      <c r="A16" s="4" t="s">
        <v>31</v>
      </c>
      <c r="B16" s="4" t="s">
        <v>56</v>
      </c>
    </row>
    <row r="18" spans="1:5">
      <c r="A18" s="4" t="s">
        <v>57</v>
      </c>
      <c r="B18" s="4" t="s">
        <v>58</v>
      </c>
      <c r="D18" s="4" t="s">
        <v>59</v>
      </c>
      <c r="E18" s="4" t="s">
        <v>60</v>
      </c>
    </row>
    <row r="19" spans="1:5">
      <c r="B19" s="26"/>
      <c r="C19" s="50" t="s">
        <v>61</v>
      </c>
      <c r="D19" s="51">
        <v>4.2999999999999997E-2</v>
      </c>
    </row>
    <row r="20" spans="1:5">
      <c r="B20" s="52"/>
      <c r="C20" s="25">
        <f>100000000*0.98</f>
        <v>98000000</v>
      </c>
      <c r="D20" s="51"/>
    </row>
    <row r="21" spans="1:5">
      <c r="B21" s="52"/>
      <c r="C21" s="50" t="s">
        <v>62</v>
      </c>
      <c r="D21" s="51">
        <v>7.0000000000000007E-2</v>
      </c>
    </row>
    <row r="22" spans="1:5" ht="17.25" thickBot="1">
      <c r="B22" s="53"/>
      <c r="C22" s="25">
        <f>1000*500000</f>
        <v>500000000</v>
      </c>
    </row>
    <row r="23" spans="1:5" ht="17.25" thickBot="1">
      <c r="E23" s="54">
        <f>(C20*D19+C22*D21)/(C20+C22)</f>
        <v>6.5575250836120397E-2</v>
      </c>
    </row>
  </sheetData>
  <mergeCells count="1">
    <mergeCell ref="E11:E12"/>
  </mergeCells>
  <phoneticPr fontId="4"/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85" zoomScaleNormal="85" workbookViewId="0">
      <selection activeCell="E19" sqref="E19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6">
      <c r="A3" s="8" t="s">
        <v>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6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6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6">
      <c r="A7" s="19" t="s">
        <v>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1:16">
      <c r="B9" s="4" t="s">
        <v>66</v>
      </c>
    </row>
    <row r="10" spans="1:16">
      <c r="A10" s="4" t="s">
        <v>8</v>
      </c>
      <c r="I10" s="22" t="s">
        <v>9</v>
      </c>
      <c r="J10" s="22"/>
      <c r="K10" s="22"/>
      <c r="L10" s="22"/>
      <c r="N10" s="4" t="s">
        <v>10</v>
      </c>
      <c r="O10" s="4">
        <v>5000</v>
      </c>
    </row>
    <row r="11" spans="1:16">
      <c r="I11" s="12" t="s">
        <v>11</v>
      </c>
      <c r="J11" s="12"/>
      <c r="K11" s="12"/>
      <c r="N11" s="4" t="s">
        <v>12</v>
      </c>
      <c r="O11" s="4">
        <v>30000</v>
      </c>
    </row>
    <row r="12" spans="1:16">
      <c r="G12" s="4" t="s">
        <v>67</v>
      </c>
      <c r="I12" s="12" t="s">
        <v>13</v>
      </c>
      <c r="K12" s="12" t="s">
        <v>14</v>
      </c>
      <c r="N12" s="4" t="s">
        <v>15</v>
      </c>
      <c r="O12" s="4">
        <v>12000</v>
      </c>
    </row>
    <row r="13" spans="1:16">
      <c r="B13" s="12" t="s">
        <v>16</v>
      </c>
      <c r="C13" s="23">
        <v>-120000000</v>
      </c>
      <c r="D13" s="24"/>
      <c r="E13" s="24"/>
      <c r="F13" s="25"/>
      <c r="G13" s="25">
        <f>+O15*0.1</f>
        <v>12000000</v>
      </c>
      <c r="I13" s="26" t="s">
        <v>17</v>
      </c>
      <c r="J13" s="27">
        <f>+O10*O12+P13</f>
        <v>90000000</v>
      </c>
      <c r="K13" s="26" t="s">
        <v>68</v>
      </c>
      <c r="L13" s="28">
        <f>+O10*O11</f>
        <v>150000000</v>
      </c>
      <c r="N13" s="4" t="s">
        <v>19</v>
      </c>
      <c r="P13" s="4">
        <v>30000000</v>
      </c>
    </row>
    <row r="14" spans="1:16">
      <c r="B14" s="12" t="s">
        <v>34</v>
      </c>
      <c r="C14" s="28"/>
      <c r="D14" s="29">
        <f>+J21</f>
        <v>46800000</v>
      </c>
      <c r="E14" s="29">
        <f>+D14</f>
        <v>46800000</v>
      </c>
      <c r="F14" s="29">
        <f>+E14</f>
        <v>46800000</v>
      </c>
      <c r="G14" s="29">
        <f>+F14</f>
        <v>46800000</v>
      </c>
      <c r="I14" s="30"/>
      <c r="J14" s="31"/>
      <c r="K14" s="30"/>
      <c r="L14" s="32"/>
    </row>
    <row r="15" spans="1:16">
      <c r="B15" s="12" t="s">
        <v>21</v>
      </c>
      <c r="C15" s="12"/>
      <c r="D15" s="12"/>
      <c r="E15" s="12"/>
      <c r="G15" s="4" t="str">
        <f>+K13</f>
        <v>収益①</v>
      </c>
      <c r="I15" s="33" t="s">
        <v>22</v>
      </c>
      <c r="J15" s="34">
        <f>+O16</f>
        <v>27000000</v>
      </c>
      <c r="K15" s="30"/>
      <c r="L15" s="32"/>
      <c r="N15" s="4" t="s">
        <v>23</v>
      </c>
      <c r="O15" s="4">
        <f>-C13</f>
        <v>120000000</v>
      </c>
    </row>
    <row r="16" spans="1:16">
      <c r="B16" s="12" t="s">
        <v>24</v>
      </c>
      <c r="C16" s="12"/>
      <c r="D16" s="35">
        <v>3.6299000000000001</v>
      </c>
      <c r="E16" s="36"/>
      <c r="F16" s="36"/>
      <c r="G16" s="37"/>
      <c r="I16" s="38"/>
      <c r="J16" s="23"/>
      <c r="K16" s="30"/>
      <c r="L16" s="32"/>
      <c r="N16" s="4" t="s">
        <v>25</v>
      </c>
      <c r="O16" s="4">
        <f>+O15*0.9/4</f>
        <v>27000000</v>
      </c>
    </row>
    <row r="17" spans="1:15" ht="17.25" thickBot="1">
      <c r="B17" s="12" t="s">
        <v>26</v>
      </c>
      <c r="C17" s="12">
        <f>+D14*D16+G13*G17</f>
        <v>180136920</v>
      </c>
      <c r="D17" s="12"/>
      <c r="E17" s="12"/>
      <c r="G17" s="39">
        <v>0.8548</v>
      </c>
      <c r="I17" s="30" t="s">
        <v>27</v>
      </c>
      <c r="J17" s="31">
        <f>+L13-J13-J15</f>
        <v>33000000</v>
      </c>
      <c r="K17" s="30"/>
      <c r="L17" s="32"/>
    </row>
    <row r="18" spans="1:15" ht="17.25" thickBot="1">
      <c r="B18" s="4" t="s">
        <v>28</v>
      </c>
      <c r="C18" s="40">
        <f>+SUM(C13:C17)</f>
        <v>60136920</v>
      </c>
      <c r="I18" s="30" t="s">
        <v>29</v>
      </c>
      <c r="J18" s="41" t="s">
        <v>30</v>
      </c>
      <c r="K18" s="30"/>
      <c r="L18" s="32"/>
    </row>
    <row r="19" spans="1:15">
      <c r="I19" s="42">
        <f>+J17*0.4</f>
        <v>13200000</v>
      </c>
      <c r="J19" s="43">
        <f>+J17*0.6</f>
        <v>19800000</v>
      </c>
      <c r="K19" s="42"/>
      <c r="L19" s="44"/>
    </row>
    <row r="20" spans="1:15">
      <c r="A20" s="4" t="s">
        <v>69</v>
      </c>
    </row>
    <row r="21" spans="1:15">
      <c r="J21" s="55">
        <f>+J15+J19</f>
        <v>46800000</v>
      </c>
      <c r="K21" s="4" t="s">
        <v>70</v>
      </c>
    </row>
    <row r="22" spans="1:15">
      <c r="B22" s="4" t="s">
        <v>71</v>
      </c>
      <c r="C22" s="4">
        <f>+C18</f>
        <v>60136920</v>
      </c>
    </row>
    <row r="23" spans="1:15" ht="17.25" thickBot="1">
      <c r="B23" s="4" t="s">
        <v>72</v>
      </c>
      <c r="I23" s="12" t="s">
        <v>13</v>
      </c>
      <c r="K23" s="12" t="s">
        <v>14</v>
      </c>
      <c r="N23" s="4" t="s">
        <v>73</v>
      </c>
    </row>
    <row r="24" spans="1:15" ht="17.25" thickBot="1">
      <c r="C24" s="4">
        <f>+C18/D16</f>
        <v>16567101.022066724</v>
      </c>
      <c r="I24" s="26" t="s">
        <v>17</v>
      </c>
      <c r="J24" s="27">
        <f>+J13</f>
        <v>90000000</v>
      </c>
      <c r="K24" s="26" t="s">
        <v>74</v>
      </c>
      <c r="L24" s="28">
        <f>+J24+J26+J28</f>
        <v>122388164.96322213</v>
      </c>
      <c r="N24" s="40">
        <f>+L24/O10</f>
        <v>24477.632992644427</v>
      </c>
    </row>
    <row r="25" spans="1:15">
      <c r="I25" s="30"/>
      <c r="J25" s="31"/>
      <c r="K25" s="30"/>
      <c r="L25" s="32"/>
    </row>
    <row r="26" spans="1:15" ht="17.25" thickBot="1">
      <c r="I26" s="33" t="s">
        <v>22</v>
      </c>
      <c r="J26" s="34">
        <f>+J15</f>
        <v>27000000</v>
      </c>
      <c r="K26" s="30"/>
      <c r="L26" s="32"/>
      <c r="N26" s="4" t="s">
        <v>75</v>
      </c>
    </row>
    <row r="27" spans="1:15" ht="17.25" thickBot="1">
      <c r="I27" s="38"/>
      <c r="J27" s="23"/>
      <c r="K27" s="30"/>
      <c r="L27" s="32"/>
      <c r="N27" s="40">
        <f>+P13+L13-L24</f>
        <v>57611835.036777869</v>
      </c>
      <c r="O27" s="4" t="s">
        <v>76</v>
      </c>
    </row>
    <row r="28" spans="1:15">
      <c r="I28" s="30" t="s">
        <v>27</v>
      </c>
      <c r="J28" s="31">
        <f>+J30/0.6</f>
        <v>5388164.9632221274</v>
      </c>
      <c r="K28" s="30"/>
      <c r="L28" s="32"/>
    </row>
    <row r="29" spans="1:15">
      <c r="I29" s="30" t="s">
        <v>29</v>
      </c>
      <c r="J29" s="41" t="s">
        <v>30</v>
      </c>
      <c r="K29" s="30"/>
      <c r="L29" s="32"/>
    </row>
    <row r="30" spans="1:15">
      <c r="I30" s="42">
        <f>+J28*0.4</f>
        <v>2155265.985288851</v>
      </c>
      <c r="J30" s="43">
        <f>+J32-J26</f>
        <v>3232898.9779332764</v>
      </c>
      <c r="K30" s="42"/>
      <c r="L30" s="44"/>
    </row>
    <row r="32" spans="1:15">
      <c r="J32" s="55">
        <f>+J21-C24</f>
        <v>30232898.977933276</v>
      </c>
      <c r="K32" s="4" t="s">
        <v>70</v>
      </c>
    </row>
    <row r="34" spans="1:8">
      <c r="A34" s="4" t="s">
        <v>57</v>
      </c>
      <c r="B34" s="4" t="s">
        <v>77</v>
      </c>
    </row>
    <row r="35" spans="1:8" ht="17.25" thickBot="1">
      <c r="E35" s="4" t="s">
        <v>78</v>
      </c>
      <c r="F35" s="4" t="s">
        <v>79</v>
      </c>
    </row>
    <row r="36" spans="1:8">
      <c r="B36" s="4" t="s">
        <v>80</v>
      </c>
      <c r="E36" s="4">
        <v>45326928</v>
      </c>
      <c r="F36" s="56">
        <f>+E36-$C$18</f>
        <v>-14809992</v>
      </c>
    </row>
    <row r="37" spans="1:8">
      <c r="B37" s="4" t="s">
        <v>81</v>
      </c>
      <c r="E37" s="4">
        <v>66670740</v>
      </c>
      <c r="F37" s="57">
        <f>+E37-$C$18</f>
        <v>6533820</v>
      </c>
    </row>
    <row r="38" spans="1:8" ht="17.25" thickBot="1">
      <c r="B38" s="4" t="s">
        <v>82</v>
      </c>
      <c r="E38" s="4">
        <v>48158250</v>
      </c>
      <c r="F38" s="58">
        <f>+E38-$C$18</f>
        <v>-11978670</v>
      </c>
    </row>
    <row r="40" spans="1:8">
      <c r="A40" s="4" t="s">
        <v>83</v>
      </c>
    </row>
    <row r="41" spans="1:8">
      <c r="C41" s="4" t="s">
        <v>12</v>
      </c>
      <c r="D41" s="4" t="s">
        <v>84</v>
      </c>
      <c r="E41" s="4" t="s">
        <v>85</v>
      </c>
      <c r="H41" s="4" t="s">
        <v>78</v>
      </c>
    </row>
    <row r="42" spans="1:8">
      <c r="B42" s="4" t="s">
        <v>86</v>
      </c>
      <c r="C42" s="4">
        <v>32000</v>
      </c>
      <c r="D42" s="4">
        <v>5500</v>
      </c>
      <c r="E42" s="4">
        <v>28000000</v>
      </c>
      <c r="F42" s="4" t="s">
        <v>87</v>
      </c>
      <c r="H42" s="4">
        <v>98468664</v>
      </c>
    </row>
    <row r="43" spans="1:8" ht="17.25" thickBot="1">
      <c r="B43" s="4" t="s">
        <v>88</v>
      </c>
      <c r="C43" s="4">
        <v>26000</v>
      </c>
      <c r="D43" s="4">
        <v>4000</v>
      </c>
      <c r="E43" s="4">
        <v>34000000</v>
      </c>
      <c r="F43" s="4" t="s">
        <v>89</v>
      </c>
      <c r="H43" s="4">
        <v>-8685984</v>
      </c>
    </row>
    <row r="44" spans="1:8" ht="17.25" thickBot="1">
      <c r="G44" s="4" t="s">
        <v>90</v>
      </c>
      <c r="H44" s="40">
        <f>+H42-H43</f>
        <v>107154648</v>
      </c>
    </row>
  </sheetData>
  <mergeCells count="1">
    <mergeCell ref="D16:G16"/>
  </mergeCells>
  <phoneticPr fontId="4"/>
  <pageMargins left="0.25" right="0.25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3" zoomScale="85" zoomScaleNormal="85" workbookViewId="0">
      <selection activeCell="E19" sqref="E19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>
      <c r="A3" s="8" t="s">
        <v>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4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>
      <c r="A6" s="16" t="s">
        <v>92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>
      <c r="A7" s="19" t="s">
        <v>93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1:14">
      <c r="A9" s="4" t="s">
        <v>94</v>
      </c>
    </row>
    <row r="11" spans="1:14">
      <c r="B11" s="4" t="s">
        <v>95</v>
      </c>
      <c r="C11" s="4">
        <v>6000</v>
      </c>
      <c r="D11" s="4">
        <v>12000</v>
      </c>
    </row>
    <row r="12" spans="1:14">
      <c r="B12" s="4" t="s">
        <v>96</v>
      </c>
      <c r="C12" s="4">
        <v>4950000</v>
      </c>
      <c r="D12" s="4">
        <v>6750000</v>
      </c>
    </row>
    <row r="13" spans="1:14" ht="17.25" thickBot="1"/>
    <row r="14" spans="1:14" ht="17.25" thickBot="1">
      <c r="B14" s="4" t="s">
        <v>97</v>
      </c>
      <c r="C14" s="59">
        <f>+(D12-C12)/(D11-C11)</f>
        <v>300</v>
      </c>
      <c r="D14" s="4" t="s">
        <v>98</v>
      </c>
      <c r="E14" s="40">
        <f>+C12-C11*C14</f>
        <v>3150000</v>
      </c>
    </row>
    <row r="16" spans="1:14">
      <c r="A16" s="4" t="s">
        <v>31</v>
      </c>
      <c r="B16" s="4" t="s">
        <v>99</v>
      </c>
      <c r="C16" s="4">
        <v>1200</v>
      </c>
    </row>
    <row r="17" spans="1:8">
      <c r="B17" s="4" t="s">
        <v>100</v>
      </c>
      <c r="C17" s="4">
        <f>+C16-C14</f>
        <v>900</v>
      </c>
    </row>
    <row r="18" spans="1:8">
      <c r="B18" s="4" t="s">
        <v>101</v>
      </c>
      <c r="C18" s="47">
        <f>+C17/C16</f>
        <v>0.75</v>
      </c>
    </row>
    <row r="19" spans="1:8" ht="17.25" thickBot="1">
      <c r="B19" s="4" t="s">
        <v>102</v>
      </c>
      <c r="C19" s="4">
        <f>+E14/C18</f>
        <v>4200000</v>
      </c>
      <c r="D19" s="4" t="s">
        <v>46</v>
      </c>
    </row>
    <row r="20" spans="1:8" ht="17.25" thickBot="1">
      <c r="C20" s="40">
        <f>+C19/C16</f>
        <v>3500</v>
      </c>
      <c r="D20" s="4" t="s">
        <v>103</v>
      </c>
    </row>
    <row r="22" spans="1:8" ht="17.25" thickBot="1">
      <c r="A22" s="4" t="s">
        <v>57</v>
      </c>
      <c r="G22" s="4" t="s">
        <v>104</v>
      </c>
      <c r="H22" s="4" t="s">
        <v>105</v>
      </c>
    </row>
    <row r="23" spans="1:8" ht="17.25" thickBot="1">
      <c r="B23" s="4" t="s">
        <v>106</v>
      </c>
      <c r="C23" s="4">
        <v>200000000</v>
      </c>
      <c r="E23" s="4" t="s">
        <v>107</v>
      </c>
      <c r="F23" s="4">
        <f>8000</f>
        <v>8000</v>
      </c>
      <c r="H23" s="40">
        <f>+H26/(F24-F25)</f>
        <v>9055.5555555555547</v>
      </c>
    </row>
    <row r="24" spans="1:8">
      <c r="B24" s="4" t="s">
        <v>27</v>
      </c>
      <c r="C24" s="4">
        <f>+G29*12</f>
        <v>29160000</v>
      </c>
      <c r="E24" s="4" t="s">
        <v>108</v>
      </c>
      <c r="F24" s="4">
        <v>1200</v>
      </c>
    </row>
    <row r="25" spans="1:8">
      <c r="E25" s="4" t="s">
        <v>15</v>
      </c>
      <c r="F25" s="4">
        <v>300</v>
      </c>
    </row>
    <row r="26" spans="1:8" ht="17.25" thickBot="1">
      <c r="B26" s="4" t="s">
        <v>109</v>
      </c>
      <c r="E26" s="4" t="s">
        <v>100</v>
      </c>
      <c r="G26" s="4">
        <f>+F23*(F24-F25)</f>
        <v>7200000</v>
      </c>
      <c r="H26" s="4">
        <f>+H28+H27</f>
        <v>8150000</v>
      </c>
    </row>
    <row r="27" spans="1:8" ht="17.25" thickBot="1">
      <c r="C27" s="49">
        <f>+C24/C23</f>
        <v>0.14580000000000001</v>
      </c>
      <c r="E27" s="4" t="s">
        <v>19</v>
      </c>
      <c r="G27" s="4">
        <f>+E14</f>
        <v>3150000</v>
      </c>
      <c r="H27" s="4">
        <f>+G27</f>
        <v>3150000</v>
      </c>
    </row>
    <row r="28" spans="1:8">
      <c r="E28" s="4" t="s">
        <v>110</v>
      </c>
      <c r="G28" s="4">
        <f>+G26-G27</f>
        <v>4050000</v>
      </c>
      <c r="H28" s="4">
        <f>+H29/0.6</f>
        <v>5000000</v>
      </c>
    </row>
    <row r="29" spans="1:8">
      <c r="E29" s="4" t="s">
        <v>111</v>
      </c>
      <c r="G29" s="4">
        <f>+G28*0.6</f>
        <v>2430000</v>
      </c>
      <c r="H29" s="4">
        <f>+C32/12</f>
        <v>3000000</v>
      </c>
    </row>
    <row r="31" spans="1:8">
      <c r="A31" s="4" t="s">
        <v>83</v>
      </c>
      <c r="B31" s="4" t="s">
        <v>106</v>
      </c>
      <c r="C31" s="4">
        <v>200000000</v>
      </c>
    </row>
    <row r="32" spans="1:8">
      <c r="B32" s="4" t="s">
        <v>27</v>
      </c>
      <c r="C32" s="60">
        <f>+C31*C35</f>
        <v>36000000</v>
      </c>
      <c r="D32" s="4" t="s">
        <v>112</v>
      </c>
    </row>
    <row r="34" spans="1:7" ht="17.25" thickBot="1">
      <c r="B34" s="4" t="s">
        <v>109</v>
      </c>
    </row>
    <row r="35" spans="1:7" ht="17.25" thickBot="1">
      <c r="C35" s="47">
        <v>0.18</v>
      </c>
      <c r="E35" s="4" t="s">
        <v>113</v>
      </c>
      <c r="F35" s="40">
        <f>+(E14+C32/0.6/12)/C18/C16</f>
        <v>9055.5555555555547</v>
      </c>
      <c r="G35" s="4" t="s">
        <v>103</v>
      </c>
    </row>
    <row r="36" spans="1:7">
      <c r="C36" s="47"/>
      <c r="F36" s="48" t="s">
        <v>114</v>
      </c>
    </row>
    <row r="38" spans="1:7">
      <c r="A38" s="4" t="s">
        <v>115</v>
      </c>
      <c r="C38" s="4" t="s">
        <v>116</v>
      </c>
      <c r="F38" s="4" t="s">
        <v>117</v>
      </c>
    </row>
    <row r="39" spans="1:7">
      <c r="C39" s="4" t="s">
        <v>118</v>
      </c>
      <c r="D39" s="4" t="s">
        <v>119</v>
      </c>
      <c r="F39" s="4" t="s">
        <v>118</v>
      </c>
      <c r="G39" s="4" t="s">
        <v>119</v>
      </c>
    </row>
    <row r="40" spans="1:7">
      <c r="B40" s="4" t="s">
        <v>106</v>
      </c>
      <c r="C40" s="4">
        <v>600000000</v>
      </c>
      <c r="D40" s="4">
        <f>+C40+C23</f>
        <v>800000000</v>
      </c>
      <c r="F40" s="4">
        <v>180000000</v>
      </c>
      <c r="G40" s="4">
        <f>+F40+C23</f>
        <v>380000000</v>
      </c>
    </row>
    <row r="41" spans="1:7" ht="17.25" thickBot="1">
      <c r="B41" s="4" t="s">
        <v>111</v>
      </c>
      <c r="C41" s="4">
        <f>120000000*0.6</f>
        <v>72000000</v>
      </c>
      <c r="D41" s="4">
        <f>+C41+C24</f>
        <v>101160000</v>
      </c>
      <c r="F41" s="4">
        <f>45000000*0.6</f>
        <v>27000000</v>
      </c>
      <c r="G41" s="4">
        <f>+F41+C24</f>
        <v>56160000</v>
      </c>
    </row>
    <row r="42" spans="1:7" ht="17.25" thickBot="1">
      <c r="C42" s="61">
        <f>+C41/C40</f>
        <v>0.12</v>
      </c>
      <c r="D42" s="62">
        <f>+D41/D40</f>
        <v>0.12645000000000001</v>
      </c>
      <c r="F42" s="61">
        <f>+F41/F40</f>
        <v>0.15</v>
      </c>
      <c r="G42" s="62">
        <f>+G41/G40</f>
        <v>0.14778947368421053</v>
      </c>
    </row>
    <row r="43" spans="1:7">
      <c r="D43" s="4" t="s">
        <v>120</v>
      </c>
    </row>
    <row r="45" spans="1:7">
      <c r="A45" s="4" t="s">
        <v>121</v>
      </c>
      <c r="B45" s="4" t="s">
        <v>122</v>
      </c>
    </row>
    <row r="46" spans="1:7">
      <c r="B46" s="4" t="s">
        <v>123</v>
      </c>
    </row>
    <row r="47" spans="1:7" ht="17.25" thickBot="1"/>
    <row r="48" spans="1:7">
      <c r="B48" s="4" t="s">
        <v>124</v>
      </c>
      <c r="D48" s="56" t="s">
        <v>125</v>
      </c>
      <c r="E48" s="4" t="s">
        <v>126</v>
      </c>
    </row>
    <row r="49" spans="2:11">
      <c r="B49" s="4" t="s">
        <v>127</v>
      </c>
      <c r="D49" s="57" t="s">
        <v>128</v>
      </c>
      <c r="E49" s="4" t="s">
        <v>126</v>
      </c>
      <c r="H49" s="4" t="s">
        <v>58</v>
      </c>
    </row>
    <row r="50" spans="2:11">
      <c r="B50" s="4" t="s">
        <v>129</v>
      </c>
      <c r="D50" s="57" t="s">
        <v>130</v>
      </c>
      <c r="E50" s="4" t="s">
        <v>126</v>
      </c>
      <c r="H50" s="26"/>
      <c r="I50" s="50" t="s">
        <v>131</v>
      </c>
    </row>
    <row r="51" spans="2:11">
      <c r="B51" s="4" t="s">
        <v>132</v>
      </c>
      <c r="D51" s="57" t="s">
        <v>133</v>
      </c>
      <c r="E51" s="4" t="s">
        <v>126</v>
      </c>
      <c r="H51" s="52"/>
      <c r="I51" s="63">
        <v>0.4</v>
      </c>
      <c r="J51" s="47">
        <v>0.08</v>
      </c>
      <c r="K51" s="47">
        <f>+J51*0.6</f>
        <v>4.8000000000000001E-2</v>
      </c>
    </row>
    <row r="52" spans="2:11">
      <c r="B52" s="4" t="s">
        <v>134</v>
      </c>
      <c r="D52" s="57" t="s">
        <v>135</v>
      </c>
      <c r="E52" s="4" t="s">
        <v>136</v>
      </c>
      <c r="H52" s="52"/>
      <c r="I52" s="64" t="s">
        <v>137</v>
      </c>
    </row>
    <row r="53" spans="2:11">
      <c r="B53" s="4" t="s">
        <v>138</v>
      </c>
      <c r="D53" s="65">
        <f>+K55</f>
        <v>7.9199999999999993E-2</v>
      </c>
      <c r="E53" s="4" t="s">
        <v>139</v>
      </c>
      <c r="H53" s="53"/>
      <c r="I53" s="63">
        <v>0.6</v>
      </c>
      <c r="J53" s="47">
        <v>0.1</v>
      </c>
    </row>
    <row r="54" spans="2:11">
      <c r="B54" s="4" t="s">
        <v>140</v>
      </c>
      <c r="D54" s="57">
        <f>(I61+K61)*10000</f>
        <v>722500000</v>
      </c>
      <c r="E54" s="4" t="s">
        <v>141</v>
      </c>
    </row>
    <row r="55" spans="2:11">
      <c r="B55" s="4" t="s">
        <v>142</v>
      </c>
      <c r="D55" s="57">
        <f>+D41-D54*$D$53</f>
        <v>43938000.000000007</v>
      </c>
      <c r="E55" s="4" t="s">
        <v>143</v>
      </c>
      <c r="J55" s="4" t="s">
        <v>144</v>
      </c>
      <c r="K55" s="66">
        <f>+K51*I51+J53*I53</f>
        <v>7.9199999999999993E-2</v>
      </c>
    </row>
    <row r="56" spans="2:11">
      <c r="B56" s="4" t="s">
        <v>145</v>
      </c>
      <c r="D56" s="57">
        <f>(J61+K61)*10000</f>
        <v>332500000</v>
      </c>
      <c r="E56" s="4" t="s">
        <v>141</v>
      </c>
    </row>
    <row r="57" spans="2:11" ht="17.25" thickBot="1">
      <c r="B57" s="4" t="s">
        <v>146</v>
      </c>
      <c r="D57" s="58">
        <f>+G41-D56*D53</f>
        <v>29826000.000000004</v>
      </c>
      <c r="E57" s="4" t="s">
        <v>143</v>
      </c>
      <c r="I57" s="4" t="s">
        <v>147</v>
      </c>
    </row>
    <row r="58" spans="2:11">
      <c r="I58" s="4" t="s">
        <v>116</v>
      </c>
      <c r="J58" s="4" t="s">
        <v>148</v>
      </c>
      <c r="K58" s="4" t="s">
        <v>149</v>
      </c>
    </row>
    <row r="59" spans="2:11">
      <c r="H59" s="4" t="s">
        <v>150</v>
      </c>
      <c r="I59" s="4">
        <v>60000</v>
      </c>
      <c r="J59" s="4">
        <v>18000</v>
      </c>
      <c r="K59" s="4">
        <v>20000</v>
      </c>
    </row>
    <row r="60" spans="2:11">
      <c r="H60" s="4" t="s">
        <v>151</v>
      </c>
      <c r="I60" s="4">
        <v>7500</v>
      </c>
      <c r="J60" s="4">
        <v>4500</v>
      </c>
      <c r="K60" s="4">
        <v>250</v>
      </c>
    </row>
    <row r="61" spans="2:11">
      <c r="H61" s="4" t="s">
        <v>152</v>
      </c>
      <c r="I61" s="4">
        <f>+I59-I60</f>
        <v>52500</v>
      </c>
      <c r="J61" s="4">
        <f t="shared" ref="J61:K61" si="0">+J59-J60</f>
        <v>13500</v>
      </c>
      <c r="K61" s="4">
        <f t="shared" si="0"/>
        <v>19750</v>
      </c>
    </row>
  </sheetData>
  <phoneticPr fontId="4"/>
  <pageMargins left="0.25" right="0.25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5" zoomScaleNormal="85" workbookViewId="0">
      <selection activeCell="E19" sqref="E19"/>
    </sheetView>
  </sheetViews>
  <sheetFormatPr defaultColWidth="12" defaultRowHeight="16.5"/>
  <cols>
    <col min="1" max="1" width="12.140625" style="4" customWidth="1"/>
    <col min="2" max="2" width="13.140625" style="4" customWidth="1"/>
    <col min="3" max="3" width="12.7109375" style="4" customWidth="1"/>
    <col min="4" max="4" width="13.140625" style="4" customWidth="1"/>
    <col min="5" max="7" width="12" style="4"/>
    <col min="8" max="8" width="11.85546875" style="4" customWidth="1"/>
    <col min="9" max="16384" width="12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6">
      <c r="A3" s="8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6" s="12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6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6">
      <c r="A7" s="19" t="s">
        <v>154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1:16">
      <c r="A9" s="4" t="s">
        <v>155</v>
      </c>
      <c r="D9" s="4" t="s">
        <v>156</v>
      </c>
      <c r="E9" s="4" t="s">
        <v>157</v>
      </c>
      <c r="F9" s="4" t="s">
        <v>158</v>
      </c>
      <c r="G9" s="4" t="s">
        <v>159</v>
      </c>
      <c r="H9" s="4" t="s">
        <v>160</v>
      </c>
      <c r="I9" s="4" t="s">
        <v>161</v>
      </c>
    </row>
    <row r="10" spans="1:16">
      <c r="B10" s="12" t="s">
        <v>16</v>
      </c>
      <c r="C10" s="23">
        <v>-7200</v>
      </c>
      <c r="D10" s="24"/>
      <c r="E10" s="24">
        <f>+C10</f>
        <v>-7200</v>
      </c>
      <c r="F10" s="25"/>
      <c r="G10" s="25">
        <f>+C10</f>
        <v>-7200</v>
      </c>
      <c r="H10" s="25">
        <f>+Q13*0.1</f>
        <v>0</v>
      </c>
      <c r="I10" s="25">
        <f>+R13*0.1</f>
        <v>0</v>
      </c>
      <c r="M10" s="22" t="s">
        <v>9</v>
      </c>
      <c r="N10" s="22"/>
      <c r="O10" s="22"/>
      <c r="P10" s="22"/>
    </row>
    <row r="11" spans="1:16">
      <c r="B11" s="12" t="s">
        <v>34</v>
      </c>
      <c r="C11" s="28"/>
      <c r="D11" s="29"/>
      <c r="E11" s="29"/>
      <c r="F11" s="29"/>
      <c r="G11" s="29"/>
      <c r="H11" s="29"/>
      <c r="I11" s="29"/>
      <c r="M11" s="12" t="s">
        <v>11</v>
      </c>
      <c r="N11" s="12"/>
      <c r="O11" s="12"/>
    </row>
    <row r="12" spans="1:16">
      <c r="B12" s="67" t="s">
        <v>162</v>
      </c>
      <c r="C12" s="68"/>
      <c r="D12" s="68">
        <f>$N$13</f>
        <v>-3200</v>
      </c>
      <c r="E12" s="68">
        <f t="shared" ref="E12:I12" si="0">$N$13</f>
        <v>-3200</v>
      </c>
      <c r="F12" s="68">
        <f t="shared" si="0"/>
        <v>-3200</v>
      </c>
      <c r="G12" s="68">
        <f t="shared" si="0"/>
        <v>-3200</v>
      </c>
      <c r="H12" s="68">
        <f t="shared" si="0"/>
        <v>-3200</v>
      </c>
      <c r="I12" s="69">
        <f t="shared" si="0"/>
        <v>-3200</v>
      </c>
      <c r="M12" s="12" t="s">
        <v>13</v>
      </c>
      <c r="O12" s="12" t="s">
        <v>14</v>
      </c>
    </row>
    <row r="13" spans="1:16">
      <c r="B13" s="70" t="s">
        <v>163</v>
      </c>
      <c r="C13" s="31"/>
      <c r="D13" s="31">
        <f>+$N$14</f>
        <v>1280</v>
      </c>
      <c r="E13" s="31">
        <f t="shared" ref="E13:I13" si="1">+$N$14</f>
        <v>1280</v>
      </c>
      <c r="F13" s="31">
        <f t="shared" si="1"/>
        <v>1280</v>
      </c>
      <c r="G13" s="31">
        <f t="shared" si="1"/>
        <v>1280</v>
      </c>
      <c r="H13" s="31">
        <f t="shared" si="1"/>
        <v>1280</v>
      </c>
      <c r="I13" s="71">
        <f t="shared" si="1"/>
        <v>1280</v>
      </c>
      <c r="M13" s="72" t="s">
        <v>17</v>
      </c>
      <c r="N13" s="73">
        <v>-3200</v>
      </c>
      <c r="O13" s="26" t="s">
        <v>18</v>
      </c>
      <c r="P13" s="28" t="s">
        <v>164</v>
      </c>
    </row>
    <row r="14" spans="1:16">
      <c r="B14" s="74" t="s">
        <v>165</v>
      </c>
      <c r="C14" s="75"/>
      <c r="D14" s="75">
        <f>+$N$16</f>
        <v>1296</v>
      </c>
      <c r="E14" s="75">
        <f t="shared" ref="E14:I14" si="2">+$N$16</f>
        <v>1296</v>
      </c>
      <c r="F14" s="75">
        <f t="shared" si="2"/>
        <v>1296</v>
      </c>
      <c r="G14" s="75">
        <f t="shared" si="2"/>
        <v>1296</v>
      </c>
      <c r="H14" s="75">
        <f t="shared" si="2"/>
        <v>1296</v>
      </c>
      <c r="I14" s="76">
        <f t="shared" si="2"/>
        <v>1296</v>
      </c>
      <c r="M14" s="77" t="s">
        <v>166</v>
      </c>
      <c r="N14" s="78">
        <f>-N13*0.4</f>
        <v>1280</v>
      </c>
      <c r="O14" s="30"/>
      <c r="P14" s="32"/>
    </row>
    <row r="15" spans="1:16">
      <c r="B15" s="12" t="s">
        <v>21</v>
      </c>
      <c r="C15" s="12"/>
      <c r="D15" s="12"/>
      <c r="E15" s="12">
        <v>800</v>
      </c>
      <c r="G15" s="12">
        <v>800</v>
      </c>
      <c r="I15" s="12">
        <v>800</v>
      </c>
      <c r="M15" s="72" t="s">
        <v>22</v>
      </c>
      <c r="N15" s="28">
        <f>+(-C10*0.9)/2</f>
        <v>3240</v>
      </c>
      <c r="O15" s="30"/>
      <c r="P15" s="32"/>
    </row>
    <row r="16" spans="1:16">
      <c r="B16" s="12" t="s">
        <v>167</v>
      </c>
      <c r="C16" s="12"/>
      <c r="D16" s="12"/>
      <c r="E16" s="12">
        <f>((-$C$10*0.1)-E15)*0.4</f>
        <v>-32</v>
      </c>
      <c r="G16" s="12">
        <f>((-$C$10*0.1)-G15)*0.4</f>
        <v>-32</v>
      </c>
      <c r="I16" s="12">
        <f>((-$C$10*0.1)-I15)*0.4</f>
        <v>-32</v>
      </c>
      <c r="M16" s="79" t="s">
        <v>166</v>
      </c>
      <c r="N16" s="80">
        <f>+N15*0.4</f>
        <v>1296</v>
      </c>
      <c r="O16" s="30"/>
      <c r="P16" s="32"/>
    </row>
    <row r="17" spans="1:16">
      <c r="B17" s="12" t="s">
        <v>24</v>
      </c>
      <c r="C17" s="12"/>
      <c r="D17" s="39">
        <v>0.91739999999999999</v>
      </c>
      <c r="E17" s="39">
        <v>0.8417</v>
      </c>
      <c r="F17" s="39">
        <v>0.7722</v>
      </c>
      <c r="G17" s="39">
        <v>0.70840000000000003</v>
      </c>
      <c r="H17" s="39">
        <v>0.64990000000000003</v>
      </c>
      <c r="I17" s="39">
        <v>0.59630000000000005</v>
      </c>
      <c r="M17" s="30" t="s">
        <v>27</v>
      </c>
      <c r="N17" s="31" t="s">
        <v>164</v>
      </c>
      <c r="O17" s="30"/>
      <c r="P17" s="32"/>
    </row>
    <row r="18" spans="1:16">
      <c r="B18" s="12"/>
      <c r="C18" s="12"/>
      <c r="D18" s="81">
        <f>+SUM(D17:I17)</f>
        <v>4.4859</v>
      </c>
      <c r="E18" s="82"/>
      <c r="F18" s="82"/>
      <c r="G18" s="82"/>
      <c r="H18" s="82"/>
      <c r="I18" s="83"/>
      <c r="M18" s="30" t="s">
        <v>166</v>
      </c>
      <c r="N18" s="31" t="s">
        <v>30</v>
      </c>
      <c r="O18" s="30"/>
      <c r="P18" s="32"/>
    </row>
    <row r="19" spans="1:16">
      <c r="B19" s="12" t="s">
        <v>168</v>
      </c>
      <c r="C19" s="12"/>
      <c r="D19" s="12"/>
      <c r="E19" s="12"/>
      <c r="F19" s="12"/>
      <c r="G19" s="12"/>
      <c r="H19" s="12"/>
      <c r="I19" s="12"/>
      <c r="M19" s="42"/>
      <c r="N19" s="84" t="s">
        <v>164</v>
      </c>
      <c r="O19" s="42"/>
      <c r="P19" s="44"/>
    </row>
    <row r="20" spans="1:16">
      <c r="B20" s="12" t="s">
        <v>106</v>
      </c>
      <c r="C20" s="85">
        <f>+C10+SUM(D20:I20)</f>
        <v>-18360.72</v>
      </c>
      <c r="D20" s="12"/>
      <c r="E20" s="12">
        <f>+E10*E$17</f>
        <v>-6060.24</v>
      </c>
      <c r="F20" s="12"/>
      <c r="G20" s="12">
        <f>+G10*G$17</f>
        <v>-5100.4800000000005</v>
      </c>
      <c r="H20" s="12"/>
      <c r="I20" s="12"/>
    </row>
    <row r="21" spans="1:16">
      <c r="B21" s="12" t="s">
        <v>162</v>
      </c>
      <c r="C21" s="12">
        <f>+D12*D18</f>
        <v>-14354.88</v>
      </c>
      <c r="D21" s="12"/>
      <c r="E21" s="12"/>
      <c r="F21" s="12"/>
      <c r="G21" s="12"/>
      <c r="H21" s="12"/>
      <c r="I21" s="12"/>
    </row>
    <row r="22" spans="1:16">
      <c r="B22" s="12" t="s">
        <v>163</v>
      </c>
      <c r="C22" s="12">
        <f>+D13*D18</f>
        <v>5741.9520000000002</v>
      </c>
    </row>
    <row r="23" spans="1:16">
      <c r="B23" s="12" t="s">
        <v>165</v>
      </c>
      <c r="C23" s="12">
        <f>+D14*D18</f>
        <v>5813.7263999999996</v>
      </c>
    </row>
    <row r="24" spans="1:16">
      <c r="B24" s="12" t="s">
        <v>21</v>
      </c>
      <c r="C24" s="12">
        <f>+SUM(D24:I24)</f>
        <v>1717.12</v>
      </c>
      <c r="E24" s="12">
        <f>+E15*E$17</f>
        <v>673.36</v>
      </c>
      <c r="G24" s="12">
        <f>+G15*G$17</f>
        <v>566.72</v>
      </c>
      <c r="I24" s="12">
        <f>+I15*I$17</f>
        <v>477.04</v>
      </c>
    </row>
    <row r="25" spans="1:16">
      <c r="B25" s="12" t="s">
        <v>169</v>
      </c>
      <c r="C25" s="12">
        <f>+SUM(D25:I25)</f>
        <v>-68.684799999999996</v>
      </c>
      <c r="E25" s="12">
        <f>+E16*E$17</f>
        <v>-26.9344</v>
      </c>
      <c r="G25" s="12">
        <f>+G16*G$17</f>
        <v>-22.668800000000001</v>
      </c>
      <c r="I25" s="12">
        <f>+I16*I$17</f>
        <v>-19.081600000000002</v>
      </c>
    </row>
    <row r="26" spans="1:16" ht="17.25" thickBot="1">
      <c r="B26" s="12"/>
      <c r="C26" s="12"/>
    </row>
    <row r="27" spans="1:16" ht="17.25" thickBot="1">
      <c r="B27" s="4" t="s">
        <v>170</v>
      </c>
      <c r="C27" s="40">
        <f>+SUM(C20:C25)</f>
        <v>-19511.486399999998</v>
      </c>
    </row>
    <row r="29" spans="1:16">
      <c r="A29" s="4" t="s">
        <v>171</v>
      </c>
      <c r="D29" s="4" t="s">
        <v>172</v>
      </c>
      <c r="E29" s="4" t="s">
        <v>157</v>
      </c>
      <c r="F29" s="4" t="s">
        <v>158</v>
      </c>
      <c r="G29" s="4" t="s">
        <v>159</v>
      </c>
      <c r="H29" s="4" t="s">
        <v>160</v>
      </c>
      <c r="I29" s="4" t="s">
        <v>173</v>
      </c>
    </row>
    <row r="30" spans="1:16">
      <c r="B30" s="12" t="s">
        <v>16</v>
      </c>
      <c r="C30" s="23">
        <v>-8500</v>
      </c>
      <c r="D30" s="24"/>
      <c r="E30" s="24"/>
      <c r="F30" s="25">
        <f>+C30</f>
        <v>-8500</v>
      </c>
      <c r="G30" s="25"/>
      <c r="H30" s="25">
        <f>+Q33*0.1</f>
        <v>0</v>
      </c>
      <c r="I30" s="25">
        <f>+R33*0.1</f>
        <v>0</v>
      </c>
      <c r="M30" s="22" t="s">
        <v>9</v>
      </c>
      <c r="N30" s="22"/>
      <c r="O30" s="22"/>
      <c r="P30" s="22"/>
    </row>
    <row r="31" spans="1:16">
      <c r="B31" s="12" t="s">
        <v>174</v>
      </c>
      <c r="C31" s="28"/>
      <c r="D31" s="29"/>
      <c r="E31" s="29"/>
      <c r="F31" s="29"/>
      <c r="G31" s="29"/>
      <c r="H31" s="29"/>
      <c r="I31" s="29"/>
      <c r="M31" s="12" t="s">
        <v>11</v>
      </c>
      <c r="N31" s="12"/>
      <c r="O31" s="12"/>
    </row>
    <row r="32" spans="1:16">
      <c r="B32" s="67" t="s">
        <v>162</v>
      </c>
      <c r="C32" s="68"/>
      <c r="D32" s="68"/>
      <c r="E32" s="68"/>
      <c r="F32" s="68"/>
      <c r="G32" s="68"/>
      <c r="H32" s="68"/>
      <c r="I32" s="69"/>
      <c r="M32" s="12" t="s">
        <v>175</v>
      </c>
      <c r="O32" s="12" t="s">
        <v>176</v>
      </c>
    </row>
    <row r="33" spans="2:16">
      <c r="B33" s="70" t="s">
        <v>163</v>
      </c>
      <c r="C33" s="31"/>
      <c r="D33" s="31"/>
      <c r="E33" s="31"/>
      <c r="F33" s="31"/>
      <c r="G33" s="31"/>
      <c r="H33" s="31"/>
      <c r="I33" s="71"/>
      <c r="M33" s="72" t="s">
        <v>17</v>
      </c>
      <c r="N33" s="73" t="s">
        <v>164</v>
      </c>
      <c r="O33" s="26" t="s">
        <v>18</v>
      </c>
      <c r="P33" s="28" t="s">
        <v>164</v>
      </c>
    </row>
    <row r="34" spans="2:16">
      <c r="B34" s="74" t="s">
        <v>165</v>
      </c>
      <c r="C34" s="75"/>
      <c r="D34" s="75">
        <f>+$N$36</f>
        <v>1020</v>
      </c>
      <c r="E34" s="75">
        <f t="shared" ref="E34:I34" si="3">+$N$36</f>
        <v>1020</v>
      </c>
      <c r="F34" s="75">
        <f t="shared" si="3"/>
        <v>1020</v>
      </c>
      <c r="G34" s="75">
        <f t="shared" si="3"/>
        <v>1020</v>
      </c>
      <c r="H34" s="75">
        <f t="shared" si="3"/>
        <v>1020</v>
      </c>
      <c r="I34" s="76">
        <f t="shared" si="3"/>
        <v>1020</v>
      </c>
      <c r="M34" s="77" t="s">
        <v>166</v>
      </c>
      <c r="N34" s="78" t="s">
        <v>164</v>
      </c>
      <c r="O34" s="30"/>
      <c r="P34" s="32"/>
    </row>
    <row r="35" spans="2:16">
      <c r="B35" s="12" t="s">
        <v>21</v>
      </c>
      <c r="C35" s="12"/>
      <c r="D35" s="12"/>
      <c r="E35" s="12"/>
      <c r="F35" s="4">
        <v>800</v>
      </c>
      <c r="G35" s="12"/>
      <c r="I35" s="12">
        <v>800</v>
      </c>
      <c r="M35" s="72" t="s">
        <v>22</v>
      </c>
      <c r="N35" s="28">
        <f>+(-C30*0.9)/3</f>
        <v>2550</v>
      </c>
      <c r="O35" s="30"/>
      <c r="P35" s="32"/>
    </row>
    <row r="36" spans="2:16">
      <c r="B36" s="12" t="s">
        <v>167</v>
      </c>
      <c r="C36" s="12"/>
      <c r="D36" s="12"/>
      <c r="E36" s="12"/>
      <c r="F36" s="4">
        <f>+(-$C$30*0.1-F35)*0.4</f>
        <v>20</v>
      </c>
      <c r="G36" s="12"/>
      <c r="I36" s="4">
        <f>+(-$C$30*0.1-I35)*0.4</f>
        <v>20</v>
      </c>
      <c r="M36" s="79" t="s">
        <v>166</v>
      </c>
      <c r="N36" s="80">
        <f>+N35*0.4</f>
        <v>1020</v>
      </c>
      <c r="O36" s="30"/>
      <c r="P36" s="32"/>
    </row>
    <row r="37" spans="2:16">
      <c r="B37" s="12" t="s">
        <v>24</v>
      </c>
      <c r="C37" s="12"/>
      <c r="D37" s="39">
        <v>0.91739999999999999</v>
      </c>
      <c r="E37" s="39">
        <v>0.8417</v>
      </c>
      <c r="F37" s="39">
        <v>0.7722</v>
      </c>
      <c r="G37" s="39">
        <v>0.70840000000000003</v>
      </c>
      <c r="H37" s="39">
        <v>0.64990000000000003</v>
      </c>
      <c r="I37" s="39">
        <v>0.59630000000000005</v>
      </c>
      <c r="M37" s="30" t="s">
        <v>27</v>
      </c>
      <c r="N37" s="31" t="s">
        <v>164</v>
      </c>
      <c r="O37" s="30"/>
      <c r="P37" s="32"/>
    </row>
    <row r="38" spans="2:16">
      <c r="B38" s="12"/>
      <c r="C38" s="12"/>
      <c r="D38" s="81">
        <f>+SUM(D37:I37)</f>
        <v>4.4859</v>
      </c>
      <c r="E38" s="82"/>
      <c r="F38" s="82"/>
      <c r="G38" s="82"/>
      <c r="H38" s="82"/>
      <c r="I38" s="83"/>
      <c r="M38" s="30" t="s">
        <v>166</v>
      </c>
      <c r="N38" s="31" t="s">
        <v>30</v>
      </c>
      <c r="O38" s="30"/>
      <c r="P38" s="32"/>
    </row>
    <row r="39" spans="2:16">
      <c r="B39" s="12" t="s">
        <v>168</v>
      </c>
      <c r="C39" s="12"/>
      <c r="D39" s="12"/>
      <c r="E39" s="12"/>
      <c r="F39" s="12"/>
      <c r="G39" s="12"/>
      <c r="H39" s="12"/>
      <c r="I39" s="12"/>
      <c r="M39" s="42"/>
      <c r="N39" s="84" t="s">
        <v>164</v>
      </c>
      <c r="O39" s="42"/>
      <c r="P39" s="44"/>
    </row>
    <row r="40" spans="2:16">
      <c r="B40" s="12" t="s">
        <v>106</v>
      </c>
      <c r="C40" s="85">
        <f>+C30+SUM(D40:I40)</f>
        <v>-15063.7</v>
      </c>
      <c r="D40" s="12"/>
      <c r="E40" s="12"/>
      <c r="F40" s="12">
        <f>+F30*F$17</f>
        <v>-6563.7</v>
      </c>
      <c r="G40" s="12"/>
      <c r="H40" s="12"/>
      <c r="I40" s="12"/>
    </row>
    <row r="41" spans="2:16">
      <c r="B41" s="12" t="s">
        <v>162</v>
      </c>
      <c r="C41" s="86">
        <f>+C47-SUM(C40,C43:C45)</f>
        <v>-10145.574399999998</v>
      </c>
      <c r="D41" s="12"/>
      <c r="E41" s="12"/>
      <c r="F41" s="12"/>
      <c r="G41" s="12"/>
      <c r="H41" s="12"/>
      <c r="I41" s="12"/>
    </row>
    <row r="42" spans="2:16">
      <c r="B42" s="12" t="s">
        <v>163</v>
      </c>
      <c r="C42" s="87"/>
    </row>
    <row r="43" spans="2:16">
      <c r="B43" s="12" t="s">
        <v>165</v>
      </c>
      <c r="C43" s="12">
        <f>+D34*D38</f>
        <v>4575.6180000000004</v>
      </c>
    </row>
    <row r="44" spans="2:16">
      <c r="B44" s="12" t="s">
        <v>21</v>
      </c>
      <c r="C44" s="12">
        <f>+SUM(D44:I44)</f>
        <v>1094.8</v>
      </c>
      <c r="E44" s="12"/>
      <c r="F44" s="12">
        <f>+F35*F37</f>
        <v>617.76</v>
      </c>
      <c r="G44" s="12"/>
      <c r="I44" s="12">
        <f>+I35*I37</f>
        <v>477.04</v>
      </c>
    </row>
    <row r="45" spans="2:16">
      <c r="B45" s="12" t="s">
        <v>169</v>
      </c>
      <c r="C45" s="12">
        <f>+SUM(D45:I45)</f>
        <v>27.37</v>
      </c>
      <c r="E45" s="12"/>
      <c r="F45" s="12">
        <f>+F36*F37</f>
        <v>15.443999999999999</v>
      </c>
      <c r="G45" s="12"/>
      <c r="I45" s="12">
        <f>+I36*I37</f>
        <v>11.926000000000002</v>
      </c>
    </row>
    <row r="46" spans="2:16" ht="17.25" thickBot="1">
      <c r="B46" s="12"/>
      <c r="C46" s="12"/>
    </row>
    <row r="47" spans="2:16" ht="17.25" thickBot="1">
      <c r="B47" s="4" t="s">
        <v>170</v>
      </c>
      <c r="C47" s="40">
        <f>+C27</f>
        <v>-19511.486399999998</v>
      </c>
    </row>
    <row r="48" spans="2:16" ht="17.25" thickBot="1">
      <c r="E48" s="4" t="s">
        <v>177</v>
      </c>
      <c r="G48" s="40">
        <f>+C41/D38/0.6</f>
        <v>-3769.4310320485665</v>
      </c>
    </row>
    <row r="50" spans="1:4">
      <c r="A50" s="4" t="s">
        <v>58</v>
      </c>
    </row>
    <row r="51" spans="1:4">
      <c r="A51" s="4" t="s">
        <v>58</v>
      </c>
    </row>
    <row r="52" spans="1:4">
      <c r="A52" s="26"/>
      <c r="B52" s="50" t="s">
        <v>131</v>
      </c>
    </row>
    <row r="53" spans="1:4">
      <c r="A53" s="52"/>
      <c r="B53" s="63">
        <v>0.4</v>
      </c>
      <c r="C53" s="51">
        <v>7.4999999999999997E-2</v>
      </c>
      <c r="D53" s="47">
        <f>+C53*0.6</f>
        <v>4.4999999999999998E-2</v>
      </c>
    </row>
    <row r="54" spans="1:4">
      <c r="A54" s="52"/>
      <c r="B54" s="64" t="s">
        <v>137</v>
      </c>
    </row>
    <row r="55" spans="1:4">
      <c r="A55" s="53"/>
      <c r="B55" s="63">
        <v>0.6</v>
      </c>
      <c r="C55" s="47">
        <v>0.12</v>
      </c>
    </row>
    <row r="56" spans="1:4">
      <c r="C56" s="4" t="s">
        <v>178</v>
      </c>
      <c r="D56" s="88">
        <f>+D53*B53+C55*B55</f>
        <v>0.09</v>
      </c>
    </row>
  </sheetData>
  <mergeCells count="3">
    <mergeCell ref="D18:I18"/>
    <mergeCell ref="D38:I38"/>
    <mergeCell ref="C41:C42"/>
  </mergeCells>
  <phoneticPr fontId="4"/>
  <pageMargins left="0.25" right="0.25" top="0.75" bottom="0.75" header="0.3" footer="0.3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10例題1</vt:lpstr>
      <vt:lpstr>10例題2</vt:lpstr>
      <vt:lpstr>10例題3</vt:lpstr>
      <vt:lpstr>10問題1</vt:lpstr>
      <vt:lpstr>10問題2</vt:lpstr>
      <vt:lpstr>10問題3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Fujisawa</dc:creator>
  <cp:lastModifiedBy>Tatsuo Fujisawa</cp:lastModifiedBy>
  <dcterms:created xsi:type="dcterms:W3CDTF">2017-05-06T16:00:24Z</dcterms:created>
  <dcterms:modified xsi:type="dcterms:W3CDTF">2017-05-06T16:00:50Z</dcterms:modified>
</cp:coreProperties>
</file>